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r300\USERS3007\I0334289\Desktop\SMW_PROOF\"/>
    </mc:Choice>
  </mc:AlternateContent>
  <bookViews>
    <workbookView xWindow="0" yWindow="0" windowWidth="28800" windowHeight="12345" activeTab="4"/>
  </bookViews>
  <sheets>
    <sheet name="CALC" sheetId="2" r:id="rId1"/>
    <sheet name="POPULATION_DATA" sheetId="1" r:id="rId2"/>
    <sheet name="SIRIS_DATA" sheetId="5" r:id="rId3"/>
    <sheet name="PREV_KOA_males" sheetId="3" r:id="rId4"/>
    <sheet name="PREV_KOA_females" sheetId="4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2" i="2" l="1"/>
  <c r="I20" i="2"/>
  <c r="F5" i="2"/>
  <c r="F6" i="2"/>
  <c r="F7" i="2"/>
  <c r="F8" i="2"/>
  <c r="F9" i="2"/>
  <c r="F10" i="2"/>
  <c r="F11" i="2"/>
  <c r="F12" i="2"/>
  <c r="F13" i="2"/>
  <c r="C48" i="2"/>
  <c r="B19" i="2" s="1"/>
  <c r="D48" i="2"/>
  <c r="C49" i="2"/>
  <c r="D49" i="2"/>
  <c r="F23" i="2" s="1"/>
  <c r="C50" i="2"/>
  <c r="H26" i="2" s="1"/>
  <c r="D50" i="2"/>
  <c r="C51" i="2"/>
  <c r="D51" i="2"/>
  <c r="L22" i="2" s="1"/>
  <c r="C52" i="2"/>
  <c r="N28" i="2" s="1"/>
  <c r="D52" i="2"/>
  <c r="C53" i="2"/>
  <c r="D53" i="2"/>
  <c r="H11" i="5"/>
  <c r="G11" i="5"/>
  <c r="G37" i="5" s="1"/>
  <c r="F11" i="5"/>
  <c r="E11" i="5"/>
  <c r="D11" i="5"/>
  <c r="C11" i="5"/>
  <c r="C37" i="5" s="1"/>
  <c r="B11" i="5"/>
  <c r="H10" i="5"/>
  <c r="G10" i="5"/>
  <c r="F10" i="5"/>
  <c r="F36" i="5" s="1"/>
  <c r="E10" i="5"/>
  <c r="D10" i="5"/>
  <c r="C10" i="5"/>
  <c r="B10" i="5"/>
  <c r="B36" i="5" s="1"/>
  <c r="H9" i="5"/>
  <c r="G9" i="5"/>
  <c r="F9" i="5"/>
  <c r="E9" i="5"/>
  <c r="D9" i="5"/>
  <c r="C9" i="5"/>
  <c r="B9" i="5"/>
  <c r="H8" i="5"/>
  <c r="G8" i="5"/>
  <c r="F8" i="5"/>
  <c r="E8" i="5"/>
  <c r="D8" i="5"/>
  <c r="C8" i="5"/>
  <c r="B8" i="5"/>
  <c r="H7" i="5"/>
  <c r="G7" i="5"/>
  <c r="G33" i="5" s="1"/>
  <c r="F7" i="5"/>
  <c r="E7" i="5"/>
  <c r="D7" i="5"/>
  <c r="C7" i="5"/>
  <c r="C33" i="5" s="1"/>
  <c r="B7" i="5"/>
  <c r="H6" i="5"/>
  <c r="G6" i="5"/>
  <c r="F6" i="5"/>
  <c r="F32" i="5" s="1"/>
  <c r="E6" i="5"/>
  <c r="D6" i="5"/>
  <c r="C6" i="5"/>
  <c r="B6" i="5"/>
  <c r="B32" i="5" s="1"/>
  <c r="H24" i="5"/>
  <c r="G24" i="5"/>
  <c r="F24" i="5"/>
  <c r="E24" i="5"/>
  <c r="E37" i="5" s="1"/>
  <c r="D24" i="5"/>
  <c r="C24" i="5"/>
  <c r="B24" i="5"/>
  <c r="H37" i="5"/>
  <c r="D37" i="5"/>
  <c r="H23" i="5"/>
  <c r="H36" i="5" s="1"/>
  <c r="G23" i="5"/>
  <c r="G36" i="5" s="1"/>
  <c r="F23" i="5"/>
  <c r="E23" i="5"/>
  <c r="D23" i="5"/>
  <c r="D36" i="5" s="1"/>
  <c r="C23" i="5"/>
  <c r="C36" i="5" s="1"/>
  <c r="B23" i="5"/>
  <c r="H22" i="5"/>
  <c r="G22" i="5"/>
  <c r="F22" i="5"/>
  <c r="F35" i="5" s="1"/>
  <c r="E22" i="5"/>
  <c r="D22" i="5"/>
  <c r="C22" i="5"/>
  <c r="B22" i="5"/>
  <c r="B35" i="5" s="1"/>
  <c r="H35" i="5"/>
  <c r="D35" i="5"/>
  <c r="H21" i="5"/>
  <c r="G21" i="5"/>
  <c r="G34" i="5" s="1"/>
  <c r="F21" i="5"/>
  <c r="F34" i="5" s="1"/>
  <c r="E21" i="5"/>
  <c r="D21" i="5"/>
  <c r="C21" i="5"/>
  <c r="C34" i="5" s="1"/>
  <c r="B21" i="5"/>
  <c r="B34" i="5" s="1"/>
  <c r="E34" i="5"/>
  <c r="H20" i="5"/>
  <c r="H33" i="5" s="1"/>
  <c r="G20" i="5"/>
  <c r="F20" i="5"/>
  <c r="F33" i="5" s="1"/>
  <c r="E20" i="5"/>
  <c r="E33" i="5" s="1"/>
  <c r="D20" i="5"/>
  <c r="D33" i="5" s="1"/>
  <c r="C20" i="5"/>
  <c r="B20" i="5"/>
  <c r="B33" i="5" s="1"/>
  <c r="H19" i="5"/>
  <c r="G19" i="5"/>
  <c r="G32" i="5" s="1"/>
  <c r="F19" i="5"/>
  <c r="E19" i="5"/>
  <c r="D19" i="5"/>
  <c r="D32" i="5" s="1"/>
  <c r="C19" i="5"/>
  <c r="C32" i="5" s="1"/>
  <c r="B19" i="5"/>
  <c r="H31" i="5"/>
  <c r="G31" i="5"/>
  <c r="F31" i="5"/>
  <c r="E31" i="5"/>
  <c r="D31" i="5"/>
  <c r="C31" i="5"/>
  <c r="B31" i="5"/>
  <c r="R5" i="2"/>
  <c r="R6" i="2"/>
  <c r="R7" i="2"/>
  <c r="R8" i="2"/>
  <c r="R9" i="2"/>
  <c r="R10" i="2"/>
  <c r="R11" i="2"/>
  <c r="R12" i="2"/>
  <c r="R13" i="2"/>
  <c r="R4" i="2"/>
  <c r="Q5" i="2"/>
  <c r="S5" i="2" s="1"/>
  <c r="Q6" i="2"/>
  <c r="Q7" i="2"/>
  <c r="Q8" i="2"/>
  <c r="Q9" i="2"/>
  <c r="S9" i="2" s="1"/>
  <c r="Q10" i="2"/>
  <c r="Q11" i="2"/>
  <c r="Q12" i="2"/>
  <c r="Q13" i="2"/>
  <c r="S13" i="2" s="1"/>
  <c r="Q4" i="2"/>
  <c r="O5" i="2"/>
  <c r="O6" i="2"/>
  <c r="O7" i="2"/>
  <c r="O8" i="2"/>
  <c r="O9" i="2"/>
  <c r="O10" i="2"/>
  <c r="O11" i="2"/>
  <c r="O12" i="2"/>
  <c r="O13" i="2"/>
  <c r="O4" i="2"/>
  <c r="N5" i="2"/>
  <c r="P5" i="2" s="1"/>
  <c r="N6" i="2"/>
  <c r="N7" i="2"/>
  <c r="N8" i="2"/>
  <c r="N9" i="2"/>
  <c r="P9" i="2" s="1"/>
  <c r="N10" i="2"/>
  <c r="N11" i="2"/>
  <c r="N12" i="2"/>
  <c r="N13" i="2"/>
  <c r="P13" i="2" s="1"/>
  <c r="N4" i="2"/>
  <c r="L5" i="2"/>
  <c r="L6" i="2"/>
  <c r="L7" i="2"/>
  <c r="L8" i="2"/>
  <c r="L9" i="2"/>
  <c r="L10" i="2"/>
  <c r="L11" i="2"/>
  <c r="L12" i="2"/>
  <c r="L13" i="2"/>
  <c r="L4" i="2"/>
  <c r="K5" i="2"/>
  <c r="M5" i="2" s="1"/>
  <c r="K6" i="2"/>
  <c r="K7" i="2"/>
  <c r="K8" i="2"/>
  <c r="K9" i="2"/>
  <c r="M9" i="2" s="1"/>
  <c r="K10" i="2"/>
  <c r="K11" i="2"/>
  <c r="K12" i="2"/>
  <c r="K13" i="2"/>
  <c r="M13" i="2" s="1"/>
  <c r="K4" i="2"/>
  <c r="I5" i="2"/>
  <c r="I6" i="2"/>
  <c r="I7" i="2"/>
  <c r="I8" i="2"/>
  <c r="I9" i="2"/>
  <c r="I10" i="2"/>
  <c r="I11" i="2"/>
  <c r="I12" i="2"/>
  <c r="I13" i="2"/>
  <c r="I4" i="2"/>
  <c r="H5" i="2"/>
  <c r="J5" i="2" s="1"/>
  <c r="H6" i="2"/>
  <c r="H7" i="2"/>
  <c r="H8" i="2"/>
  <c r="H9" i="2"/>
  <c r="J9" i="2" s="1"/>
  <c r="H10" i="2"/>
  <c r="H11" i="2"/>
  <c r="H12" i="2"/>
  <c r="H13" i="2"/>
  <c r="J13" i="2" s="1"/>
  <c r="H4" i="2"/>
  <c r="F4" i="2"/>
  <c r="E5" i="2"/>
  <c r="G5" i="2" s="1"/>
  <c r="E6" i="2"/>
  <c r="G6" i="2" s="1"/>
  <c r="E7" i="2"/>
  <c r="E8" i="2"/>
  <c r="E9" i="2"/>
  <c r="G9" i="2" s="1"/>
  <c r="E10" i="2"/>
  <c r="G10" i="2" s="1"/>
  <c r="E11" i="2"/>
  <c r="E12" i="2"/>
  <c r="E13" i="2"/>
  <c r="G13" i="2" s="1"/>
  <c r="E4" i="2"/>
  <c r="G4" i="2" s="1"/>
  <c r="C5" i="2"/>
  <c r="C6" i="2"/>
  <c r="C7" i="2"/>
  <c r="C22" i="2" s="1"/>
  <c r="C8" i="2"/>
  <c r="C23" i="2" s="1"/>
  <c r="C9" i="2"/>
  <c r="C10" i="2"/>
  <c r="C11" i="2"/>
  <c r="C12" i="2"/>
  <c r="C13" i="2"/>
  <c r="C4" i="2"/>
  <c r="B11" i="2"/>
  <c r="D11" i="2" s="1"/>
  <c r="B12" i="2"/>
  <c r="D12" i="2" s="1"/>
  <c r="B13" i="2"/>
  <c r="D13" i="2" s="1"/>
  <c r="B10" i="2"/>
  <c r="D10" i="2" s="1"/>
  <c r="B9" i="2"/>
  <c r="B8" i="2"/>
  <c r="D8" i="2" s="1"/>
  <c r="B7" i="2"/>
  <c r="B6" i="2"/>
  <c r="D6" i="2" s="1"/>
  <c r="B5" i="2"/>
  <c r="B20" i="2" s="1"/>
  <c r="B4" i="2"/>
  <c r="D4" i="2" s="1"/>
  <c r="E7" i="3"/>
  <c r="E9" i="4"/>
  <c r="E8" i="4"/>
  <c r="E7" i="4"/>
  <c r="E6" i="4"/>
  <c r="E5" i="4"/>
  <c r="E4" i="4"/>
  <c r="E9" i="3"/>
  <c r="E8" i="3"/>
  <c r="E6" i="3"/>
  <c r="E5" i="3"/>
  <c r="E4" i="3"/>
  <c r="B22" i="2" l="1"/>
  <c r="B24" i="2"/>
  <c r="C20" i="2"/>
  <c r="C27" i="2"/>
  <c r="C28" i="2"/>
  <c r="C26" i="2"/>
  <c r="C24" i="2"/>
  <c r="Q21" i="2"/>
  <c r="F26" i="2"/>
  <c r="Q28" i="2"/>
  <c r="S28" i="2" s="1"/>
  <c r="G43" i="2" s="1"/>
  <c r="O23" i="2"/>
  <c r="I21" i="2"/>
  <c r="E28" i="2"/>
  <c r="E26" i="2"/>
  <c r="F22" i="2"/>
  <c r="Q24" i="2"/>
  <c r="D24" i="2"/>
  <c r="B39" i="2" s="1"/>
  <c r="E53" i="2"/>
  <c r="N21" i="2"/>
  <c r="H23" i="2"/>
  <c r="C21" i="2"/>
  <c r="E22" i="2"/>
  <c r="I28" i="2"/>
  <c r="H22" i="2"/>
  <c r="N24" i="2"/>
  <c r="Q20" i="2"/>
  <c r="K21" i="2"/>
  <c r="D20" i="2"/>
  <c r="R23" i="2"/>
  <c r="L23" i="2"/>
  <c r="E49" i="2"/>
  <c r="E48" i="2"/>
  <c r="I24" i="2"/>
  <c r="L26" i="2"/>
  <c r="N20" i="2"/>
  <c r="R26" i="2"/>
  <c r="D22" i="2"/>
  <c r="B37" i="2" s="1"/>
  <c r="B26" i="2"/>
  <c r="D26" i="2" s="1"/>
  <c r="B41" i="2" s="1"/>
  <c r="C25" i="2"/>
  <c r="K28" i="2"/>
  <c r="K24" i="2"/>
  <c r="K20" i="2"/>
  <c r="O26" i="2"/>
  <c r="O22" i="2"/>
  <c r="E50" i="2"/>
  <c r="B25" i="2"/>
  <c r="B21" i="2"/>
  <c r="D21" i="2" s="1"/>
  <c r="E25" i="2"/>
  <c r="E21" i="2"/>
  <c r="G21" i="2" s="1"/>
  <c r="F19" i="2"/>
  <c r="F25" i="2"/>
  <c r="F21" i="2"/>
  <c r="I27" i="2"/>
  <c r="I23" i="2"/>
  <c r="J23" i="2" s="1"/>
  <c r="D38" i="2" s="1"/>
  <c r="H19" i="2"/>
  <c r="H25" i="2"/>
  <c r="H21" i="2"/>
  <c r="J21" i="2" s="1"/>
  <c r="K27" i="2"/>
  <c r="K23" i="2"/>
  <c r="L19" i="2"/>
  <c r="L25" i="2"/>
  <c r="L21" i="2"/>
  <c r="M21" i="2" s="1"/>
  <c r="N27" i="2"/>
  <c r="N23" i="2"/>
  <c r="P23" i="2" s="1"/>
  <c r="F38" i="2" s="1"/>
  <c r="O19" i="2"/>
  <c r="O25" i="2"/>
  <c r="O21" i="2"/>
  <c r="Q27" i="2"/>
  <c r="Q23" i="2"/>
  <c r="S23" i="2" s="1"/>
  <c r="G38" i="2" s="1"/>
  <c r="R19" i="2"/>
  <c r="R25" i="2"/>
  <c r="R21" i="2"/>
  <c r="T13" i="2"/>
  <c r="J10" i="2"/>
  <c r="M4" i="2"/>
  <c r="M6" i="2"/>
  <c r="P4" i="2"/>
  <c r="P10" i="2"/>
  <c r="P6" i="2"/>
  <c r="S4" i="2"/>
  <c r="S10" i="2"/>
  <c r="S6" i="2"/>
  <c r="E51" i="2"/>
  <c r="E19" i="2"/>
  <c r="E24" i="2"/>
  <c r="E20" i="2"/>
  <c r="F28" i="2"/>
  <c r="G28" i="2" s="1"/>
  <c r="C43" i="2" s="1"/>
  <c r="F24" i="2"/>
  <c r="F20" i="2"/>
  <c r="I26" i="2"/>
  <c r="I22" i="2"/>
  <c r="H28" i="2"/>
  <c r="H24" i="2"/>
  <c r="H20" i="2"/>
  <c r="J20" i="2" s="1"/>
  <c r="K26" i="2"/>
  <c r="K22" i="2"/>
  <c r="M22" i="2" s="1"/>
  <c r="E37" i="2" s="1"/>
  <c r="L28" i="2"/>
  <c r="L24" i="2"/>
  <c r="L20" i="2"/>
  <c r="N26" i="2"/>
  <c r="P26" i="2" s="1"/>
  <c r="F41" i="2" s="1"/>
  <c r="N22" i="2"/>
  <c r="P22" i="2" s="1"/>
  <c r="F37" i="2" s="1"/>
  <c r="O28" i="2"/>
  <c r="P28" i="2" s="1"/>
  <c r="F43" i="2" s="1"/>
  <c r="O24" i="2"/>
  <c r="O20" i="2"/>
  <c r="Q26" i="2"/>
  <c r="S26" i="2" s="1"/>
  <c r="G41" i="2" s="1"/>
  <c r="Q22" i="2"/>
  <c r="S22" i="2" s="1"/>
  <c r="G37" i="2" s="1"/>
  <c r="R28" i="2"/>
  <c r="R24" i="2"/>
  <c r="R20" i="2"/>
  <c r="C19" i="2"/>
  <c r="D7" i="2"/>
  <c r="J4" i="2"/>
  <c r="J6" i="2"/>
  <c r="M10" i="2"/>
  <c r="E52" i="2"/>
  <c r="B27" i="2"/>
  <c r="D27" i="2" s="1"/>
  <c r="B42" i="2" s="1"/>
  <c r="B23" i="2"/>
  <c r="D23" i="2" s="1"/>
  <c r="B38" i="2" s="1"/>
  <c r="B28" i="2"/>
  <c r="D28" i="2" s="1"/>
  <c r="B43" i="2" s="1"/>
  <c r="E27" i="2"/>
  <c r="E23" i="2"/>
  <c r="G23" i="2" s="1"/>
  <c r="C38" i="2" s="1"/>
  <c r="F27" i="2"/>
  <c r="I19" i="2"/>
  <c r="I25" i="2"/>
  <c r="H27" i="2"/>
  <c r="K19" i="2"/>
  <c r="M19" i="2" s="1"/>
  <c r="K25" i="2"/>
  <c r="M25" i="2" s="1"/>
  <c r="E40" i="2" s="1"/>
  <c r="L27" i="2"/>
  <c r="N19" i="2"/>
  <c r="N25" i="2"/>
  <c r="O27" i="2"/>
  <c r="Q19" i="2"/>
  <c r="Q25" i="2"/>
  <c r="R27" i="2"/>
  <c r="G11" i="2"/>
  <c r="G7" i="2"/>
  <c r="J11" i="2"/>
  <c r="J7" i="2"/>
  <c r="M11" i="2"/>
  <c r="M7" i="2"/>
  <c r="P11" i="2"/>
  <c r="P7" i="2"/>
  <c r="S11" i="2"/>
  <c r="S7" i="2"/>
  <c r="D5" i="2"/>
  <c r="G8" i="2"/>
  <c r="J8" i="2"/>
  <c r="M12" i="2"/>
  <c r="M8" i="2"/>
  <c r="P12" i="2"/>
  <c r="P8" i="2"/>
  <c r="S12" i="2"/>
  <c r="S8" i="2"/>
  <c r="D9" i="2"/>
  <c r="T9" i="2" s="1"/>
  <c r="G12" i="2"/>
  <c r="J12" i="2"/>
  <c r="B37" i="5"/>
  <c r="F37" i="5"/>
  <c r="E35" i="5"/>
  <c r="D34" i="5"/>
  <c r="H34" i="5"/>
  <c r="D13" i="5"/>
  <c r="H13" i="5"/>
  <c r="B13" i="5"/>
  <c r="F13" i="5"/>
  <c r="E13" i="5"/>
  <c r="C13" i="5"/>
  <c r="G13" i="5"/>
  <c r="B39" i="5"/>
  <c r="D39" i="5"/>
  <c r="H26" i="5"/>
  <c r="E26" i="5"/>
  <c r="C35" i="5"/>
  <c r="G35" i="5"/>
  <c r="B26" i="5"/>
  <c r="F26" i="5"/>
  <c r="E36" i="5"/>
  <c r="T5" i="2"/>
  <c r="T6" i="2"/>
  <c r="F39" i="5"/>
  <c r="C39" i="5"/>
  <c r="G39" i="5"/>
  <c r="G26" i="5"/>
  <c r="D26" i="5"/>
  <c r="H32" i="5"/>
  <c r="C26" i="5"/>
  <c r="E32" i="5"/>
  <c r="J22" i="2" l="1"/>
  <c r="D37" i="2" s="1"/>
  <c r="P25" i="2"/>
  <c r="F40" i="2" s="1"/>
  <c r="G22" i="2"/>
  <c r="C37" i="2" s="1"/>
  <c r="G26" i="2"/>
  <c r="C41" i="2" s="1"/>
  <c r="P19" i="2"/>
  <c r="S25" i="2"/>
  <c r="G40" i="2" s="1"/>
  <c r="J24" i="2"/>
  <c r="D39" i="2" s="1"/>
  <c r="J27" i="2"/>
  <c r="D42" i="2" s="1"/>
  <c r="J28" i="2"/>
  <c r="D43" i="2" s="1"/>
  <c r="S20" i="2"/>
  <c r="G19" i="2"/>
  <c r="P24" i="2"/>
  <c r="F39" i="2" s="1"/>
  <c r="S19" i="2"/>
  <c r="M26" i="2"/>
  <c r="E41" i="2" s="1"/>
  <c r="S27" i="2"/>
  <c r="G42" i="2" s="1"/>
  <c r="S24" i="2"/>
  <c r="G39" i="2" s="1"/>
  <c r="S21" i="2"/>
  <c r="T11" i="2"/>
  <c r="T10" i="2"/>
  <c r="G20" i="2"/>
  <c r="T4" i="2"/>
  <c r="P27" i="2"/>
  <c r="F42" i="2" s="1"/>
  <c r="M23" i="2"/>
  <c r="E38" i="2" s="1"/>
  <c r="P20" i="2"/>
  <c r="P21" i="2"/>
  <c r="T8" i="2"/>
  <c r="G24" i="2"/>
  <c r="C39" i="2" s="1"/>
  <c r="M27" i="2"/>
  <c r="E42" i="2" s="1"/>
  <c r="D25" i="2"/>
  <c r="B40" i="2" s="1"/>
  <c r="M20" i="2"/>
  <c r="J19" i="2"/>
  <c r="J26" i="2"/>
  <c r="D41" i="2" s="1"/>
  <c r="M24" i="2"/>
  <c r="E39" i="2" s="1"/>
  <c r="T7" i="2"/>
  <c r="G27" i="2"/>
  <c r="C42" i="2" s="1"/>
  <c r="D19" i="2"/>
  <c r="J25" i="2"/>
  <c r="D40" i="2" s="1"/>
  <c r="G25" i="2"/>
  <c r="C40" i="2" s="1"/>
  <c r="M28" i="2"/>
  <c r="E43" i="2" s="1"/>
  <c r="T12" i="2"/>
  <c r="E39" i="5"/>
  <c r="H39" i="5"/>
</calcChain>
</file>

<file path=xl/sharedStrings.xml><?xml version="1.0" encoding="utf-8"?>
<sst xmlns="http://schemas.openxmlformats.org/spreadsheetml/2006/main" count="380" uniqueCount="137">
  <si>
    <t>Population in Switzerland 40+ (grouped by age and gender)</t>
  </si>
  <si>
    <t>Year</t>
  </si>
  <si>
    <t>POP (40-44)</t>
  </si>
  <si>
    <t>POP (45-54)</t>
  </si>
  <si>
    <t>POP (55-64)</t>
  </si>
  <si>
    <t>POP (65-74)</t>
  </si>
  <si>
    <t>POP (75-84)</t>
  </si>
  <si>
    <t>POP (85+)</t>
  </si>
  <si>
    <t>Total</t>
  </si>
  <si>
    <t>sex</t>
  </si>
  <si>
    <t>f</t>
  </si>
  <si>
    <t>m</t>
  </si>
  <si>
    <t>tot</t>
  </si>
  <si>
    <t>Population with KOA in age group (estimated)</t>
  </si>
  <si>
    <t>KOA (40-44)</t>
  </si>
  <si>
    <t>KOA (45-54)</t>
  </si>
  <si>
    <t>KOA (55-64)</t>
  </si>
  <si>
    <t>KOA (65-74)</t>
  </si>
  <si>
    <t>KOA (75-84)</t>
  </si>
  <si>
    <t>KOA (85+)</t>
  </si>
  <si>
    <t xml:space="preserve"> Proportion of Total Knee Replacements in age group (Number of Total Knee Replacements/People with KOA)</t>
  </si>
  <si>
    <t>KRS (40-44)</t>
  </si>
  <si>
    <t>KRS (45-54)</t>
  </si>
  <si>
    <t>KRS (55-64)</t>
  </si>
  <si>
    <t>KRS (65-74)</t>
  </si>
  <si>
    <t>KRS (75-84)</t>
  </si>
  <si>
    <t>KRS (85+)</t>
  </si>
  <si>
    <t xml:space="preserve">- Population data </t>
  </si>
  <si>
    <t>https://www.pxweb.bfs.admin.ch/pxweb/de/px-x-0102010000_101/px-x-0102010000_101/px-x-0102010000_101.px</t>
  </si>
  <si>
    <t>see POPULATION_DATA</t>
  </si>
  <si>
    <t xml:space="preserve">- Prevalence symptomatic KOA from global burden of disease study </t>
  </si>
  <si>
    <t>see PREV_KOA_males and PREV_KOA_females</t>
  </si>
  <si>
    <t>With age and gender specific population data and age and gender specific prevalence data absolute numbers of persons with symptomatic KOA were calculated</t>
  </si>
  <si>
    <t>- Number of Total Knee replacements performed per year and age groups</t>
  </si>
  <si>
    <t>To calculate the age specific risk to receive a total knee replacement when having symptomatic KOA</t>
  </si>
  <si>
    <t>Prevalence symptomatic KOA for western Europe (Global Burden of Disease Study 2010)</t>
  </si>
  <si>
    <t xml:space="preserve">The age specific number of total knee replacement per year was divided by the estimated number of persons having symptomatic KOA. </t>
  </si>
  <si>
    <t>Age</t>
  </si>
  <si>
    <t>Female [%]</t>
  </si>
  <si>
    <t>Male [%]</t>
  </si>
  <si>
    <t>mean [%]</t>
  </si>
  <si>
    <t>40-44</t>
  </si>
  <si>
    <t xml:space="preserve">The total amount of total knee replacements are not reported by gender, therefore we added both female and male population </t>
  </si>
  <si>
    <t>45-54</t>
  </si>
  <si>
    <t>55-64</t>
  </si>
  <si>
    <t>64-74</t>
  </si>
  <si>
    <t>75-84</t>
  </si>
  <si>
    <t>85+</t>
  </si>
  <si>
    <t>linked to PREV Sheets</t>
  </si>
  <si>
    <t>Data BFS Bevölkerung Alter und Geschlecht 2010 - 2019</t>
  </si>
  <si>
    <t>30 Jahre</t>
  </si>
  <si>
    <t>31 Jahre</t>
  </si>
  <si>
    <t>32 Jahre</t>
  </si>
  <si>
    <t>33 Jahre</t>
  </si>
  <si>
    <t>34 Jahre</t>
  </si>
  <si>
    <t>35 Jahre</t>
  </si>
  <si>
    <t>36 Jahre</t>
  </si>
  <si>
    <t>37 Jahre</t>
  </si>
  <si>
    <t>38 Jahre</t>
  </si>
  <si>
    <t>39 Jahre</t>
  </si>
  <si>
    <t>40 Jahre</t>
  </si>
  <si>
    <t>41 Jahre</t>
  </si>
  <si>
    <t>42 Jahre</t>
  </si>
  <si>
    <t>43 Jahre</t>
  </si>
  <si>
    <t>44 Jahre</t>
  </si>
  <si>
    <t>45 Jahre</t>
  </si>
  <si>
    <t>46 Jahre</t>
  </si>
  <si>
    <t>47 Jahre</t>
  </si>
  <si>
    <t>48 Jahre</t>
  </si>
  <si>
    <t>49 Jahre</t>
  </si>
  <si>
    <t>50 Jahre</t>
  </si>
  <si>
    <t>51 Jahre</t>
  </si>
  <si>
    <t>52 Jahre</t>
  </si>
  <si>
    <t>53 Jahre</t>
  </si>
  <si>
    <t>54 Jahre</t>
  </si>
  <si>
    <t>55 Jahre</t>
  </si>
  <si>
    <t>56 Jahre</t>
  </si>
  <si>
    <t>57 Jahre</t>
  </si>
  <si>
    <t>58 Jahre</t>
  </si>
  <si>
    <t>59 Jahre</t>
  </si>
  <si>
    <t>60 Jahre</t>
  </si>
  <si>
    <t>61 Jahre</t>
  </si>
  <si>
    <t>62 Jahre</t>
  </si>
  <si>
    <t>63 Jahre</t>
  </si>
  <si>
    <t>64 Jahre</t>
  </si>
  <si>
    <t>65 Jahre</t>
  </si>
  <si>
    <t>66 Jahre</t>
  </si>
  <si>
    <t>67 Jahre</t>
  </si>
  <si>
    <t>68 Jahre</t>
  </si>
  <si>
    <t>69 Jahre</t>
  </si>
  <si>
    <t>70 Jahre</t>
  </si>
  <si>
    <t>71 Jahre</t>
  </si>
  <si>
    <t>72 Jahre</t>
  </si>
  <si>
    <t>73 Jahre</t>
  </si>
  <si>
    <t>74 Jahre</t>
  </si>
  <si>
    <t>75 Jahre</t>
  </si>
  <si>
    <t>76 Jahre</t>
  </si>
  <si>
    <t>77 Jahre</t>
  </si>
  <si>
    <t>78 Jahre</t>
  </si>
  <si>
    <t>79 Jahre</t>
  </si>
  <si>
    <t>80 Jahre</t>
  </si>
  <si>
    <t>81 Jahre</t>
  </si>
  <si>
    <t>82 Jahre</t>
  </si>
  <si>
    <t>83 Jahre</t>
  </si>
  <si>
    <t>84 Jahre</t>
  </si>
  <si>
    <t>85 Jahre</t>
  </si>
  <si>
    <t>86 Jahre</t>
  </si>
  <si>
    <t>87 Jahre</t>
  </si>
  <si>
    <t>88 Jahre</t>
  </si>
  <si>
    <t>89 Jahre</t>
  </si>
  <si>
    <t>90 Jahre</t>
  </si>
  <si>
    <t>91 Jahre</t>
  </si>
  <si>
    <t>92 Jahre</t>
  </si>
  <si>
    <t>93 Jahre</t>
  </si>
  <si>
    <t>94 Jahre</t>
  </si>
  <si>
    <t>95 Jahre</t>
  </si>
  <si>
    <t>96 Jahre</t>
  </si>
  <si>
    <t>97 Jahre</t>
  </si>
  <si>
    <t>98 Jahre</t>
  </si>
  <si>
    <t>99 Jahre</t>
  </si>
  <si>
    <t>100 Jahre und mehr</t>
  </si>
  <si>
    <t>Mann</t>
  </si>
  <si>
    <t>Frau</t>
  </si>
  <si>
    <t>All data extracted from the SIRIS-Registry Report 2020</t>
  </si>
  <si>
    <t>Total Knee Replacement by age</t>
  </si>
  <si>
    <t>Currently proportion is calculated for TKR only. Partial knee replacement excluded. Because revision rates for partial replacement is much higher than for total</t>
  </si>
  <si>
    <t>It gets to complicated if partial replacements are included as well</t>
  </si>
  <si>
    <t>&lt;45</t>
  </si>
  <si>
    <t>65-74</t>
  </si>
  <si>
    <t>cont</t>
  </si>
  <si>
    <t>Partial Knee Replacement by age</t>
  </si>
  <si>
    <t>OVERALL KRS by age (SIRIS Data)</t>
  </si>
  <si>
    <t>Age-specific prevalence KOA in males</t>
  </si>
  <si>
    <t>Extracted from graph of the global burden of disease study (cross et al)</t>
  </si>
  <si>
    <t>Age-specific prevalence KOA in females</t>
  </si>
  <si>
    <t>Calculated age-specific prevalence of KOA in males</t>
  </si>
  <si>
    <t>Calculated age-specific prevalence of KOA in females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</si>
</sst>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 applyNumberFormat="0" applyBorder="0" applyAlignment="0"/>
    <xf numFmtId="0" fontId="8" fillId="0" borderId="0" applyNumberFormat="0" applyFill="0" applyBorder="0" applyAlignment="0" applyProtection="0"/>
  </cellStyleXfs>
  <cellXfs count="154">
    <xf numFmtId="0" fontId="0" fillId="0" borderId="0" xfId="0"/>
    <xf numFmtId="1" fontId="0" fillId="0" borderId="1" xfId="0" applyNumberFormat="1" applyBorder="1"/>
    <xf numFmtId="0" fontId="2" fillId="0" borderId="0" xfId="0" applyFont="1"/>
    <xf numFmtId="0" fontId="2" fillId="0" borderId="2" xfId="0" applyFont="1" applyBorder="1"/>
    <xf numFmtId="1" fontId="3" fillId="0" borderId="1" xfId="7" applyNumberFormat="1" applyBorder="1"/>
    <xf numFmtId="1" fontId="0" fillId="0" borderId="14" xfId="0" applyNumberFormat="1" applyBorder="1"/>
    <xf numFmtId="1" fontId="0" fillId="0" borderId="16" xfId="0" applyNumberFormat="1" applyBorder="1"/>
    <xf numFmtId="1" fontId="0" fillId="0" borderId="17" xfId="0" applyNumberFormat="1" applyBorder="1"/>
    <xf numFmtId="164" fontId="0" fillId="0" borderId="0" xfId="0" applyNumberForma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/>
    <xf numFmtId="0" fontId="0" fillId="0" borderId="16" xfId="0" applyBorder="1" applyAlignment="1">
      <alignment horizontal="center" vertical="center"/>
    </xf>
    <xf numFmtId="1" fontId="1" fillId="5" borderId="1" xfId="4" applyNumberFormat="1" applyBorder="1" applyAlignment="1">
      <alignment horizontal="center" vertical="center"/>
    </xf>
    <xf numFmtId="0" fontId="1" fillId="7" borderId="5" xfId="6" applyBorder="1" applyAlignment="1">
      <alignment horizontal="center" vertical="center"/>
    </xf>
    <xf numFmtId="0" fontId="1" fillId="7" borderId="6" xfId="6" applyBorder="1" applyAlignment="1">
      <alignment horizontal="center" vertical="center"/>
    </xf>
    <xf numFmtId="0" fontId="1" fillId="7" borderId="1" xfId="6" applyBorder="1" applyAlignment="1">
      <alignment horizontal="center" vertical="center"/>
    </xf>
    <xf numFmtId="164" fontId="1" fillId="7" borderId="1" xfId="6" applyNumberFormat="1" applyBorder="1" applyAlignment="1" applyProtection="1">
      <alignment horizontal="center" vertical="center"/>
    </xf>
    <xf numFmtId="1" fontId="0" fillId="0" borderId="19" xfId="0" applyNumberFormat="1" applyBorder="1"/>
    <xf numFmtId="1" fontId="3" fillId="0" borderId="19" xfId="7" applyNumberFormat="1" applyBorder="1"/>
    <xf numFmtId="1" fontId="0" fillId="0" borderId="20" xfId="0" applyNumberFormat="1" applyBorder="1"/>
    <xf numFmtId="1" fontId="2" fillId="0" borderId="18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/>
    <xf numFmtId="0" fontId="2" fillId="0" borderId="11" xfId="0" applyFont="1" applyBorder="1" applyAlignment="1">
      <alignment horizontal="left"/>
    </xf>
    <xf numFmtId="1" fontId="2" fillId="0" borderId="10" xfId="0" applyNumberFormat="1" applyFont="1" applyBorder="1" applyAlignment="1">
      <alignment horizontal="left"/>
    </xf>
    <xf numFmtId="1" fontId="2" fillId="0" borderId="11" xfId="0" applyNumberFormat="1" applyFont="1" applyBorder="1"/>
    <xf numFmtId="1" fontId="4" fillId="0" borderId="11" xfId="7" applyNumberFormat="1" applyFont="1" applyBorder="1"/>
    <xf numFmtId="1" fontId="2" fillId="0" borderId="12" xfId="0" applyNumberFormat="1" applyFont="1" applyBorder="1"/>
    <xf numFmtId="1" fontId="2" fillId="0" borderId="15" xfId="0" applyNumberFormat="1" applyFont="1" applyBorder="1" applyAlignment="1">
      <alignment horizontal="center"/>
    </xf>
    <xf numFmtId="1" fontId="2" fillId="0" borderId="16" xfId="0" applyNumberFormat="1" applyFont="1" applyBorder="1"/>
    <xf numFmtId="1" fontId="4" fillId="0" borderId="16" xfId="7" applyNumberFormat="1" applyFont="1" applyBorder="1"/>
    <xf numFmtId="1" fontId="2" fillId="0" borderId="17" xfId="0" applyNumberFormat="1" applyFont="1" applyBorder="1"/>
    <xf numFmtId="1" fontId="1" fillId="6" borderId="21" xfId="5" applyNumberFormat="1" applyBorder="1" applyAlignment="1">
      <alignment horizontal="center" vertical="center"/>
    </xf>
    <xf numFmtId="1" fontId="1" fillId="6" borderId="13" xfId="5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1" fillId="6" borderId="3" xfId="5" applyNumberFormat="1" applyBorder="1" applyAlignment="1">
      <alignment horizontal="center" vertical="center"/>
    </xf>
    <xf numFmtId="1" fontId="1" fillId="6" borderId="3" xfId="5" applyNumberFormat="1" applyBorder="1" applyAlignment="1" applyProtection="1">
      <alignment horizontal="center" vertical="center"/>
    </xf>
    <xf numFmtId="1" fontId="1" fillId="6" borderId="22" xfId="5" applyNumberFormat="1" applyBorder="1" applyAlignment="1">
      <alignment horizontal="center" vertical="center"/>
    </xf>
    <xf numFmtId="1" fontId="1" fillId="6" borderId="1" xfId="5" applyNumberFormat="1" applyBorder="1" applyAlignment="1">
      <alignment horizontal="center" vertical="center"/>
    </xf>
    <xf numFmtId="1" fontId="1" fillId="6" borderId="1" xfId="5" applyNumberFormat="1" applyBorder="1" applyAlignment="1" applyProtection="1">
      <alignment horizontal="center" vertical="center"/>
    </xf>
    <xf numFmtId="1" fontId="1" fillId="6" borderId="14" xfId="5" applyNumberFormat="1" applyBorder="1" applyAlignment="1" applyProtection="1">
      <alignment horizontal="center" vertical="center"/>
    </xf>
    <xf numFmtId="1" fontId="1" fillId="6" borderId="14" xfId="5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3" fillId="0" borderId="1" xfId="7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2" fillId="6" borderId="4" xfId="5" applyNumberFormat="1" applyFont="1" applyBorder="1" applyAlignment="1">
      <alignment horizontal="center" vertical="center"/>
    </xf>
    <xf numFmtId="1" fontId="2" fillId="6" borderId="5" xfId="5" applyNumberFormat="1" applyFont="1" applyBorder="1" applyAlignment="1">
      <alignment horizontal="center" vertical="center"/>
    </xf>
    <xf numFmtId="1" fontId="2" fillId="6" borderId="5" xfId="5" applyNumberFormat="1" applyFont="1" applyBorder="1" applyAlignment="1" applyProtection="1">
      <alignment horizontal="center" vertical="center"/>
    </xf>
    <xf numFmtId="1" fontId="2" fillId="6" borderId="6" xfId="5" applyNumberFormat="1" applyFont="1" applyBorder="1" applyAlignment="1">
      <alignment horizontal="center" vertical="center"/>
    </xf>
    <xf numFmtId="164" fontId="1" fillId="4" borderId="1" xfId="3" applyNumberFormat="1" applyBorder="1" applyAlignment="1">
      <alignment horizontal="center" vertical="center"/>
    </xf>
    <xf numFmtId="164" fontId="1" fillId="4" borderId="14" xfId="3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23" xfId="0" applyFont="1" applyBorder="1"/>
    <xf numFmtId="0" fontId="0" fillId="0" borderId="0" xfId="0" applyAlignment="1">
      <alignment horizontal="center" vertical="center"/>
    </xf>
    <xf numFmtId="164" fontId="1" fillId="4" borderId="13" xfId="3" applyNumberFormat="1" applyBorder="1" applyAlignment="1">
      <alignment horizontal="center" vertical="center"/>
    </xf>
    <xf numFmtId="164" fontId="2" fillId="4" borderId="21" xfId="3" applyNumberFormat="1" applyFont="1" applyBorder="1" applyAlignment="1">
      <alignment horizontal="center" vertical="center"/>
    </xf>
    <xf numFmtId="164" fontId="2" fillId="4" borderId="3" xfId="3" applyNumberFormat="1" applyFont="1" applyBorder="1" applyAlignment="1">
      <alignment horizontal="center" vertical="center"/>
    </xf>
    <xf numFmtId="164" fontId="2" fillId="4" borderId="22" xfId="3" applyNumberFormat="1" applyFont="1" applyBorder="1" applyAlignment="1">
      <alignment horizontal="center" vertical="center"/>
    </xf>
    <xf numFmtId="0" fontId="8" fillId="0" borderId="0" xfId="8"/>
    <xf numFmtId="1" fontId="0" fillId="0" borderId="0" xfId="0" applyNumberFormat="1"/>
    <xf numFmtId="0" fontId="2" fillId="0" borderId="22" xfId="0" applyFont="1" applyBorder="1" applyAlignment="1">
      <alignment horizontal="center" vertical="center"/>
    </xf>
    <xf numFmtId="0" fontId="0" fillId="0" borderId="13" xfId="0" applyBorder="1" applyAlignment="1">
      <alignment horizontal="left" vertical="top"/>
    </xf>
    <xf numFmtId="1" fontId="3" fillId="0" borderId="0" xfId="7" applyNumberFormat="1" applyBorder="1"/>
    <xf numFmtId="0" fontId="5" fillId="0" borderId="25" xfId="0" applyFont="1" applyBorder="1" applyAlignment="1">
      <alignment horizontal="center" vertical="center"/>
    </xf>
    <xf numFmtId="0" fontId="1" fillId="7" borderId="26" xfId="6" applyBorder="1" applyAlignment="1">
      <alignment horizontal="center" vertical="center"/>
    </xf>
    <xf numFmtId="0" fontId="1" fillId="7" borderId="27" xfId="6" applyBorder="1" applyAlignment="1">
      <alignment horizontal="center" vertical="center"/>
    </xf>
    <xf numFmtId="2" fontId="3" fillId="0" borderId="0" xfId="7" applyNumberFormat="1" applyBorder="1"/>
    <xf numFmtId="0" fontId="5" fillId="8" borderId="24" xfId="0" applyFont="1" applyFill="1" applyBorder="1" applyAlignment="1">
      <alignment horizontal="center" vertical="center"/>
    </xf>
    <xf numFmtId="0" fontId="3" fillId="0" borderId="0" xfId="7"/>
    <xf numFmtId="0" fontId="4" fillId="0" borderId="0" xfId="7" applyFont="1"/>
    <xf numFmtId="1" fontId="3" fillId="0" borderId="0" xfId="7" applyNumberFormat="1"/>
    <xf numFmtId="0" fontId="1" fillId="8" borderId="5" xfId="2" applyFill="1" applyBorder="1" applyAlignment="1">
      <alignment horizontal="center" vertical="center"/>
    </xf>
    <xf numFmtId="0" fontId="1" fillId="8" borderId="26" xfId="2" applyFill="1" applyBorder="1" applyAlignment="1">
      <alignment horizontal="center" vertical="center"/>
    </xf>
    <xf numFmtId="1" fontId="1" fillId="8" borderId="1" xfId="2" applyNumberFormat="1" applyFill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1" fontId="1" fillId="5" borderId="9" xfId="4" applyNumberFormat="1" applyBorder="1" applyAlignment="1">
      <alignment horizontal="center" vertical="center"/>
    </xf>
    <xf numFmtId="0" fontId="1" fillId="7" borderId="9" xfId="6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1" fontId="1" fillId="0" borderId="0" xfId="1" applyNumberFormat="1" applyFill="1" applyBorder="1" applyAlignment="1">
      <alignment horizontal="center" vertical="center"/>
    </xf>
    <xf numFmtId="1" fontId="1" fillId="0" borderId="0" xfId="1" applyNumberFormat="1" applyFill="1" applyBorder="1" applyAlignment="1" applyProtection="1">
      <alignment horizontal="center" vertical="center"/>
    </xf>
    <xf numFmtId="0" fontId="1" fillId="0" borderId="0" xfId="3" applyFill="1" applyBorder="1" applyAlignment="1">
      <alignment horizontal="center" vertical="center"/>
    </xf>
    <xf numFmtId="1" fontId="1" fillId="0" borderId="0" xfId="3" applyNumberFormat="1" applyFill="1" applyBorder="1" applyAlignment="1">
      <alignment horizontal="center" vertical="center"/>
    </xf>
    <xf numFmtId="1" fontId="1" fillId="0" borderId="0" xfId="4" applyNumberFormat="1" applyFill="1" applyBorder="1" applyAlignment="1">
      <alignment horizontal="center" vertical="center"/>
    </xf>
    <xf numFmtId="0" fontId="1" fillId="0" borderId="0" xfId="5" applyFill="1" applyBorder="1" applyAlignment="1">
      <alignment horizontal="center" vertical="center"/>
    </xf>
    <xf numFmtId="164" fontId="1" fillId="0" borderId="0" xfId="5" applyNumberFormat="1" applyFill="1" applyBorder="1" applyAlignment="1" applyProtection="1">
      <alignment horizontal="center" vertical="center"/>
    </xf>
    <xf numFmtId="164" fontId="1" fillId="0" borderId="0" xfId="5" applyNumberFormat="1" applyFill="1" applyBorder="1" applyAlignment="1">
      <alignment horizontal="center" vertical="center"/>
    </xf>
    <xf numFmtId="0" fontId="8" fillId="0" borderId="0" xfId="8" applyFill="1"/>
    <xf numFmtId="1" fontId="4" fillId="0" borderId="0" xfId="7" applyNumberFormat="1" applyFont="1" applyBorder="1"/>
    <xf numFmtId="0" fontId="3" fillId="0" borderId="0" xfId="7" applyBorder="1"/>
    <xf numFmtId="1" fontId="0" fillId="0" borderId="0" xfId="0" applyNumberFormat="1" applyAlignment="1">
      <alignment horizontal="center" vertical="center"/>
    </xf>
    <xf numFmtId="1" fontId="0" fillId="8" borderId="9" xfId="0" applyNumberForma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" fontId="2" fillId="9" borderId="15" xfId="0" applyNumberFormat="1" applyFont="1" applyFill="1" applyBorder="1" applyAlignment="1">
      <alignment horizontal="center"/>
    </xf>
    <xf numFmtId="1" fontId="2" fillId="9" borderId="16" xfId="0" applyNumberFormat="1" applyFont="1" applyFill="1" applyBorder="1"/>
    <xf numFmtId="1" fontId="4" fillId="9" borderId="16" xfId="7" applyNumberFormat="1" applyFont="1" applyFill="1" applyBorder="1"/>
    <xf numFmtId="1" fontId="2" fillId="9" borderId="17" xfId="0" applyNumberFormat="1" applyFont="1" applyFill="1" applyBorder="1"/>
    <xf numFmtId="1" fontId="0" fillId="9" borderId="21" xfId="0" applyNumberFormat="1" applyFill="1" applyBorder="1" applyAlignment="1">
      <alignment horizontal="center"/>
    </xf>
    <xf numFmtId="1" fontId="0" fillId="9" borderId="3" xfId="0" applyNumberFormat="1" applyFill="1" applyBorder="1"/>
    <xf numFmtId="1" fontId="3" fillId="9" borderId="3" xfId="7" applyNumberFormat="1" applyFill="1" applyBorder="1"/>
    <xf numFmtId="1" fontId="0" fillId="9" borderId="22" xfId="0" applyNumberFormat="1" applyFill="1" applyBorder="1"/>
    <xf numFmtId="1" fontId="0" fillId="9" borderId="13" xfId="0" applyNumberFormat="1" applyFill="1" applyBorder="1" applyAlignment="1">
      <alignment horizontal="center"/>
    </xf>
    <xf numFmtId="1" fontId="0" fillId="9" borderId="1" xfId="0" applyNumberFormat="1" applyFill="1" applyBorder="1"/>
    <xf numFmtId="1" fontId="3" fillId="9" borderId="1" xfId="7" applyNumberFormat="1" applyFill="1" applyBorder="1"/>
    <xf numFmtId="1" fontId="0" fillId="9" borderId="14" xfId="0" applyNumberFormat="1" applyFill="1" applyBorder="1"/>
    <xf numFmtId="0" fontId="0" fillId="5" borderId="26" xfId="4" applyFont="1" applyBorder="1" applyAlignment="1">
      <alignment horizontal="center" vertical="center"/>
    </xf>
    <xf numFmtId="0" fontId="1" fillId="8" borderId="7" xfId="2" applyFill="1" applyBorder="1" applyAlignment="1">
      <alignment horizontal="center" vertical="center"/>
    </xf>
    <xf numFmtId="0" fontId="1" fillId="8" borderId="27" xfId="2" applyFill="1" applyBorder="1" applyAlignment="1">
      <alignment horizontal="center" vertical="center"/>
    </xf>
    <xf numFmtId="1" fontId="1" fillId="8" borderId="8" xfId="2" applyNumberFormat="1" applyFill="1" applyBorder="1" applyAlignment="1" applyProtection="1">
      <alignment horizontal="center" vertical="center"/>
    </xf>
    <xf numFmtId="0" fontId="1" fillId="0" borderId="0" xfId="4" applyFill="1" applyBorder="1" applyAlignment="1">
      <alignment horizontal="center" vertical="center"/>
    </xf>
    <xf numFmtId="0" fontId="1" fillId="0" borderId="0" xfId="6" applyFill="1" applyBorder="1" applyAlignment="1">
      <alignment horizontal="center" vertical="center"/>
    </xf>
    <xf numFmtId="164" fontId="1" fillId="0" borderId="0" xfId="6" applyNumberFormat="1" applyFill="1" applyBorder="1" applyAlignment="1" applyProtection="1">
      <alignment horizontal="center" vertical="center"/>
    </xf>
    <xf numFmtId="0" fontId="1" fillId="0" borderId="0" xfId="2" applyFill="1" applyBorder="1" applyAlignment="1">
      <alignment horizontal="center" vertical="center"/>
    </xf>
    <xf numFmtId="1" fontId="1" fillId="0" borderId="0" xfId="2" applyNumberFormat="1" applyFill="1" applyBorder="1" applyAlignment="1" applyProtection="1">
      <alignment horizontal="center" vertical="center"/>
    </xf>
    <xf numFmtId="1" fontId="1" fillId="0" borderId="0" xfId="5" applyNumberFormat="1" applyFill="1" applyBorder="1" applyAlignment="1">
      <alignment horizontal="center" vertical="center"/>
    </xf>
    <xf numFmtId="1" fontId="1" fillId="0" borderId="0" xfId="5" applyNumberFormat="1" applyFill="1" applyBorder="1" applyAlignment="1" applyProtection="1">
      <alignment horizontal="center" vertical="center"/>
    </xf>
    <xf numFmtId="0" fontId="1" fillId="10" borderId="5" xfId="4" applyFill="1" applyBorder="1" applyAlignment="1">
      <alignment horizontal="center" vertical="center"/>
    </xf>
    <xf numFmtId="1" fontId="1" fillId="10" borderId="1" xfId="4" applyNumberFormat="1" applyFill="1" applyBorder="1" applyAlignment="1">
      <alignment horizontal="center" vertical="center"/>
    </xf>
    <xf numFmtId="1" fontId="0" fillId="10" borderId="1" xfId="0" applyNumberFormat="1" applyFill="1" applyBorder="1" applyAlignment="1">
      <alignment horizontal="center"/>
    </xf>
    <xf numFmtId="1" fontId="0" fillId="10" borderId="1" xfId="0" applyNumberFormat="1" applyFill="1" applyBorder="1"/>
    <xf numFmtId="0" fontId="0" fillId="10" borderId="3" xfId="4" applyFont="1" applyFill="1" applyBorder="1" applyAlignment="1">
      <alignment horizontal="center" vertical="center"/>
    </xf>
    <xf numFmtId="0" fontId="1" fillId="10" borderId="3" xfId="4" applyFill="1" applyBorder="1" applyAlignment="1">
      <alignment horizontal="center" vertical="center"/>
    </xf>
    <xf numFmtId="0" fontId="1" fillId="5" borderId="4" xfId="4" applyBorder="1" applyAlignment="1">
      <alignment horizontal="center" vertical="center"/>
    </xf>
    <xf numFmtId="0" fontId="0" fillId="10" borderId="5" xfId="0" applyFill="1" applyBorder="1" applyAlignment="1">
      <alignment horizontal="center"/>
    </xf>
    <xf numFmtId="0" fontId="0" fillId="10" borderId="5" xfId="0" applyFill="1" applyBorder="1"/>
    <xf numFmtId="0" fontId="1" fillId="10" borderId="6" xfId="4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7" borderId="1" xfId="6" applyNumberFormat="1" applyFont="1" applyBorder="1" applyAlignment="1" applyProtection="1">
      <alignment horizontal="center" vertical="center"/>
    </xf>
    <xf numFmtId="164" fontId="2" fillId="7" borderId="9" xfId="6" applyNumberFormat="1" applyFont="1" applyBorder="1" applyAlignment="1" applyProtection="1">
      <alignment horizontal="center" vertical="center"/>
    </xf>
    <xf numFmtId="49" fontId="0" fillId="0" borderId="0" xfId="0" applyNumberFormat="1"/>
    <xf numFmtId="49" fontId="1" fillId="0" borderId="0" xfId="1" applyNumberFormat="1" applyFill="1" applyBorder="1" applyAlignment="1" applyProtection="1">
      <alignment horizontal="center" vertical="center"/>
    </xf>
    <xf numFmtId="0" fontId="10" fillId="0" borderId="0" xfId="0" applyFont="1"/>
    <xf numFmtId="165" fontId="1" fillId="0" borderId="0" xfId="1" applyNumberFormat="1" applyFill="1" applyBorder="1" applyAlignment="1" applyProtection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2" fontId="0" fillId="0" borderId="0" xfId="0" applyNumberFormat="1" applyBorder="1"/>
    <xf numFmtId="0" fontId="11" fillId="0" borderId="0" xfId="0" applyFont="1"/>
  </cellXfs>
  <cellStyles count="9">
    <cellStyle name="20 % - Akzent1" xfId="1" builtinId="30"/>
    <cellStyle name="20 % - Akzent2" xfId="3" builtinId="34"/>
    <cellStyle name="20 % - Akzent6" xfId="5" builtinId="50"/>
    <cellStyle name="40 % - Akzent2" xfId="4" builtinId="35"/>
    <cellStyle name="60 % - Akzent1" xfId="2" builtinId="32"/>
    <cellStyle name="60 % - Akzent6" xfId="6" builtinId="52"/>
    <cellStyle name="Link" xfId="8" builtinId="8"/>
    <cellStyle name="Normal 2" xfId="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9"/>
  <sheetViews>
    <sheetView zoomScaleNormal="100" workbookViewId="0">
      <selection activeCell="I51" sqref="I51"/>
    </sheetView>
  </sheetViews>
  <sheetFormatPr baseColWidth="10" defaultColWidth="9.140625" defaultRowHeight="15" x14ac:dyDescent="0.25"/>
  <cols>
    <col min="1" max="1" width="6.7109375" style="11" customWidth="1"/>
    <col min="2" max="2" width="12.85546875" style="11" customWidth="1"/>
    <col min="3" max="3" width="12.7109375" style="11" customWidth="1"/>
    <col min="4" max="22" width="12.7109375" customWidth="1"/>
    <col min="23" max="23" width="6.7109375" customWidth="1"/>
    <col min="24" max="30" width="12.7109375" customWidth="1"/>
    <col min="31" max="31" width="6.7109375" customWidth="1"/>
    <col min="32" max="33" width="12.7109375" customWidth="1"/>
    <col min="34" max="34" width="12.85546875" customWidth="1"/>
    <col min="35" max="39" width="12.7109375" customWidth="1"/>
    <col min="43" max="43" width="10" customWidth="1"/>
    <col min="47" max="47" width="14" customWidth="1"/>
    <col min="48" max="48" width="11.7109375" customWidth="1"/>
  </cols>
  <sheetData>
    <row r="1" spans="1:37" ht="50.1" customHeight="1" thickBot="1" x14ac:dyDescent="0.3">
      <c r="A1" s="10" t="s">
        <v>0</v>
      </c>
      <c r="B1" s="10"/>
      <c r="C1" s="10"/>
      <c r="W1" s="9"/>
      <c r="AE1" s="10"/>
    </row>
    <row r="2" spans="1:37" s="17" customFormat="1" ht="30" customHeight="1" thickBot="1" x14ac:dyDescent="0.3">
      <c r="A2" s="16" t="s">
        <v>1</v>
      </c>
      <c r="B2" s="80"/>
      <c r="C2" s="80"/>
      <c r="D2" s="84" t="s">
        <v>2</v>
      </c>
      <c r="E2" s="84"/>
      <c r="F2" s="84"/>
      <c r="G2" s="84" t="s">
        <v>3</v>
      </c>
      <c r="H2" s="84"/>
      <c r="I2" s="84"/>
      <c r="J2" s="84" t="s">
        <v>4</v>
      </c>
      <c r="K2" s="84"/>
      <c r="L2" s="84"/>
      <c r="M2" s="84" t="s">
        <v>5</v>
      </c>
      <c r="N2" s="84"/>
      <c r="O2" s="84"/>
      <c r="P2" s="84" t="s">
        <v>6</v>
      </c>
      <c r="Q2" s="84"/>
      <c r="R2" s="84"/>
      <c r="S2" s="84" t="s">
        <v>7</v>
      </c>
      <c r="T2" s="119" t="s">
        <v>8</v>
      </c>
      <c r="U2" s="125"/>
      <c r="W2" s="122"/>
      <c r="X2" s="122"/>
      <c r="Y2" s="122"/>
      <c r="Z2" s="122"/>
      <c r="AA2" s="122"/>
      <c r="AB2" s="122"/>
      <c r="AC2" s="122"/>
      <c r="AD2" s="122"/>
      <c r="AE2" s="123"/>
      <c r="AF2" s="123"/>
      <c r="AG2" s="123"/>
      <c r="AH2" s="123"/>
      <c r="AI2" s="123"/>
      <c r="AJ2" s="123"/>
      <c r="AK2" s="123"/>
    </row>
    <row r="3" spans="1:37" s="17" customFormat="1" ht="30" customHeight="1" x14ac:dyDescent="0.25">
      <c r="A3" s="76" t="s">
        <v>9</v>
      </c>
      <c r="B3" s="90" t="s">
        <v>10</v>
      </c>
      <c r="C3" s="90" t="s">
        <v>11</v>
      </c>
      <c r="D3" s="85" t="s">
        <v>12</v>
      </c>
      <c r="E3" s="85" t="s">
        <v>10</v>
      </c>
      <c r="F3" s="85" t="s">
        <v>11</v>
      </c>
      <c r="G3" s="85" t="s">
        <v>12</v>
      </c>
      <c r="H3" s="85" t="s">
        <v>10</v>
      </c>
      <c r="I3" s="85" t="s">
        <v>11</v>
      </c>
      <c r="J3" s="85" t="s">
        <v>12</v>
      </c>
      <c r="K3" s="85" t="s">
        <v>10</v>
      </c>
      <c r="L3" s="85" t="s">
        <v>11</v>
      </c>
      <c r="M3" s="85" t="s">
        <v>12</v>
      </c>
      <c r="N3" s="85" t="s">
        <v>10</v>
      </c>
      <c r="O3" s="85" t="s">
        <v>11</v>
      </c>
      <c r="P3" s="85" t="s">
        <v>12</v>
      </c>
      <c r="Q3" s="85" t="s">
        <v>10</v>
      </c>
      <c r="R3" s="85" t="s">
        <v>11</v>
      </c>
      <c r="S3" s="85" t="s">
        <v>12</v>
      </c>
      <c r="T3" s="120"/>
      <c r="U3" s="125"/>
      <c r="W3" s="122"/>
      <c r="X3" s="122"/>
      <c r="Y3" s="122"/>
      <c r="Z3" s="122"/>
      <c r="AA3" s="122"/>
      <c r="AB3" s="122"/>
      <c r="AC3" s="122"/>
      <c r="AD3" s="122"/>
      <c r="AE3" s="123"/>
      <c r="AF3" s="123"/>
      <c r="AG3" s="123"/>
      <c r="AH3" s="123"/>
      <c r="AI3" s="123"/>
      <c r="AJ3" s="123"/>
      <c r="AK3" s="123"/>
    </row>
    <row r="4" spans="1:37" x14ac:dyDescent="0.25">
      <c r="A4" s="14">
        <v>2010</v>
      </c>
      <c r="B4" s="91">
        <f>SUM(POPULATION_DATA!N32:R32)</f>
        <v>315984</v>
      </c>
      <c r="C4" s="91">
        <f>SUM(POPULATION_DATA!N18:R18)</f>
        <v>318088</v>
      </c>
      <c r="D4" s="86">
        <f>B4+C4</f>
        <v>634072</v>
      </c>
      <c r="E4" s="86">
        <f>SUM(POPULATION_DATA!S32:AB32)</f>
        <v>600796</v>
      </c>
      <c r="F4" s="86">
        <f>SUM(POPULATION_DATA!S18:AB18)</f>
        <v>616430</v>
      </c>
      <c r="G4" s="86">
        <f>E4+F4</f>
        <v>1217226</v>
      </c>
      <c r="H4" s="86">
        <f>SUM(POPULATION_DATA!AC32:AL32)</f>
        <v>476358</v>
      </c>
      <c r="I4" s="86">
        <f>SUM(POPULATION_DATA!AC18:AL18)</f>
        <v>470289</v>
      </c>
      <c r="J4" s="86">
        <f>H4+I4</f>
        <v>946647</v>
      </c>
      <c r="K4" s="86">
        <f>SUM(POPULATION_DATA!AM32:AV32)</f>
        <v>369671</v>
      </c>
      <c r="L4" s="86">
        <f>SUM(POPULATION_DATA!AM18:AV18)</f>
        <v>331019</v>
      </c>
      <c r="M4" s="86">
        <f>K4+L4</f>
        <v>700690</v>
      </c>
      <c r="N4" s="86">
        <f>SUM(POPULATION_DATA!AW32:BF32)</f>
        <v>265387</v>
      </c>
      <c r="O4" s="86">
        <f>SUM(POPULATION_DATA!AW18:BF18)</f>
        <v>185050</v>
      </c>
      <c r="P4" s="86">
        <f>N4+O4</f>
        <v>450437</v>
      </c>
      <c r="Q4" s="86">
        <f>SUM(POPULATION_DATA!BG32:BV32)</f>
        <v>123095</v>
      </c>
      <c r="R4" s="86">
        <f>SUM(POPULATION_DATA!BG18:BV18)</f>
        <v>55472</v>
      </c>
      <c r="S4" s="86">
        <f>Q4+R4</f>
        <v>178567</v>
      </c>
      <c r="T4" s="121">
        <f t="shared" ref="T4:T13" si="0">SUM(D4,G4,J4,M4,P4,S4)</f>
        <v>4127639</v>
      </c>
      <c r="U4" s="126"/>
      <c r="W4" s="122"/>
      <c r="X4" s="96"/>
      <c r="Y4" s="96"/>
      <c r="Z4" s="96"/>
      <c r="AA4" s="96"/>
      <c r="AB4" s="96"/>
      <c r="AC4" s="96"/>
      <c r="AD4" s="96"/>
      <c r="AE4" s="123"/>
      <c r="AF4" s="124"/>
      <c r="AG4" s="124"/>
      <c r="AH4" s="124"/>
      <c r="AI4" s="124"/>
      <c r="AJ4" s="124"/>
      <c r="AK4" s="124"/>
    </row>
    <row r="5" spans="1:37" x14ac:dyDescent="0.25">
      <c r="A5" s="14">
        <v>2011</v>
      </c>
      <c r="B5" s="91">
        <f>SUM(POPULATION_DATA!N33:R33)</f>
        <v>311754</v>
      </c>
      <c r="C5" s="91">
        <f>SUM(POPULATION_DATA!N19:R19)</f>
        <v>313186</v>
      </c>
      <c r="D5" s="86">
        <f t="shared" ref="D5:D13" si="1">B5+C5</f>
        <v>624940</v>
      </c>
      <c r="E5" s="86">
        <f>SUM(POPULATION_DATA!S33:AB33)</f>
        <v>614755</v>
      </c>
      <c r="F5" s="86">
        <f>SUM(POPULATION_DATA!S19:AB19)</f>
        <v>630109</v>
      </c>
      <c r="G5" s="86">
        <f t="shared" ref="G5:G13" si="2">E5+F5</f>
        <v>1244864</v>
      </c>
      <c r="H5" s="86">
        <f>SUM(POPULATION_DATA!AC33:AL33)</f>
        <v>480522</v>
      </c>
      <c r="I5" s="86">
        <f>SUM(POPULATION_DATA!AC19:AL19)</f>
        <v>476527</v>
      </c>
      <c r="J5" s="86">
        <f t="shared" ref="J5:J13" si="3">H5+I5</f>
        <v>957049</v>
      </c>
      <c r="K5" s="86">
        <f>SUM(POPULATION_DATA!AM33:AV33)</f>
        <v>380418</v>
      </c>
      <c r="L5" s="86">
        <f>SUM(POPULATION_DATA!AM19:AV19)</f>
        <v>343041</v>
      </c>
      <c r="M5" s="86">
        <f t="shared" ref="M5:M13" si="4">K5+L5</f>
        <v>723459</v>
      </c>
      <c r="N5" s="86">
        <f>SUM(POPULATION_DATA!AW33:BF33)</f>
        <v>267619</v>
      </c>
      <c r="O5" s="86">
        <f>SUM(POPULATION_DATA!AW19:BF19)</f>
        <v>189272</v>
      </c>
      <c r="P5" s="86">
        <f t="shared" ref="P5:P13" si="5">N5+O5</f>
        <v>456891</v>
      </c>
      <c r="Q5" s="86">
        <f>SUM(POPULATION_DATA!BG33:BV33)</f>
        <v>127017</v>
      </c>
      <c r="R5" s="86">
        <f>SUM(POPULATION_DATA!BG19:BV19)</f>
        <v>57785</v>
      </c>
      <c r="S5" s="86">
        <f t="shared" ref="S5:S13" si="6">Q5+R5</f>
        <v>184802</v>
      </c>
      <c r="T5" s="121">
        <f t="shared" si="0"/>
        <v>4192005</v>
      </c>
      <c r="U5" s="126"/>
      <c r="W5" s="122"/>
      <c r="X5" s="96"/>
      <c r="Y5" s="96"/>
      <c r="Z5" s="96"/>
      <c r="AA5" s="96"/>
      <c r="AB5" s="96"/>
      <c r="AC5" s="96"/>
      <c r="AD5" s="96"/>
      <c r="AE5" s="123"/>
      <c r="AF5" s="124"/>
      <c r="AG5" s="124"/>
      <c r="AH5" s="124"/>
      <c r="AI5" s="124"/>
      <c r="AJ5" s="124"/>
      <c r="AK5" s="124"/>
    </row>
    <row r="6" spans="1:37" x14ac:dyDescent="0.25">
      <c r="A6" s="14">
        <v>2012</v>
      </c>
      <c r="B6" s="91">
        <f>SUM(POPULATION_DATA!N34:R34)</f>
        <v>306422</v>
      </c>
      <c r="C6" s="91">
        <f>SUM(POPULATION_DATA!N20:R20)</f>
        <v>309069</v>
      </c>
      <c r="D6" s="86">
        <f t="shared" si="1"/>
        <v>615491</v>
      </c>
      <c r="E6" s="86">
        <f>SUM(POPULATION_DATA!S34:AB34)</f>
        <v>626336</v>
      </c>
      <c r="F6" s="86">
        <f>SUM(POPULATION_DATA!S20:AB20)</f>
        <v>641371</v>
      </c>
      <c r="G6" s="86">
        <f t="shared" si="2"/>
        <v>1267707</v>
      </c>
      <c r="H6" s="86">
        <f>SUM(POPULATION_DATA!AC34:AL34)</f>
        <v>486641</v>
      </c>
      <c r="I6" s="86">
        <f>SUM(POPULATION_DATA!AC20:AL20)</f>
        <v>483703</v>
      </c>
      <c r="J6" s="86">
        <f t="shared" si="3"/>
        <v>970344</v>
      </c>
      <c r="K6" s="86">
        <f>SUM(POPULATION_DATA!AM34:AV34)</f>
        <v>391473</v>
      </c>
      <c r="L6" s="86">
        <f>SUM(POPULATION_DATA!AM20:AV20)</f>
        <v>355048</v>
      </c>
      <c r="M6" s="86">
        <f t="shared" si="4"/>
        <v>746521</v>
      </c>
      <c r="N6" s="86">
        <f>SUM(POPULATION_DATA!AW34:BF34)</f>
        <v>269312</v>
      </c>
      <c r="O6" s="86">
        <f>SUM(POPULATION_DATA!AW20:BF20)</f>
        <v>193566</v>
      </c>
      <c r="P6" s="86">
        <f t="shared" si="5"/>
        <v>462878</v>
      </c>
      <c r="Q6" s="86">
        <f>SUM(POPULATION_DATA!BG34:BV34)</f>
        <v>129578</v>
      </c>
      <c r="R6" s="86">
        <f>SUM(POPULATION_DATA!BG20:BV20)</f>
        <v>59641</v>
      </c>
      <c r="S6" s="86">
        <f t="shared" si="6"/>
        <v>189219</v>
      </c>
      <c r="T6" s="121">
        <f t="shared" si="0"/>
        <v>4252160</v>
      </c>
      <c r="U6" s="126"/>
      <c r="W6" s="122"/>
      <c r="X6" s="96"/>
      <c r="Y6" s="96"/>
      <c r="Z6" s="96"/>
      <c r="AA6" s="96"/>
      <c r="AB6" s="96"/>
      <c r="AC6" s="96"/>
      <c r="AD6" s="96"/>
      <c r="AE6" s="123"/>
      <c r="AF6" s="124"/>
      <c r="AG6" s="124"/>
      <c r="AH6" s="124"/>
      <c r="AI6" s="124"/>
      <c r="AJ6" s="124"/>
      <c r="AK6" s="124"/>
    </row>
    <row r="7" spans="1:37" x14ac:dyDescent="0.25">
      <c r="A7" s="14">
        <v>2013</v>
      </c>
      <c r="B7" s="91">
        <f>SUM(POPULATION_DATA!N35:R35)</f>
        <v>300842</v>
      </c>
      <c r="C7" s="91">
        <f>SUM(POPULATION_DATA!N21:R21)</f>
        <v>304469</v>
      </c>
      <c r="D7" s="86">
        <f t="shared" si="1"/>
        <v>605311</v>
      </c>
      <c r="E7" s="86">
        <f>SUM(POPULATION_DATA!S35:AB35)</f>
        <v>637532</v>
      </c>
      <c r="F7" s="86">
        <f>SUM(POPULATION_DATA!S21:AB21)</f>
        <v>652195</v>
      </c>
      <c r="G7" s="86">
        <f t="shared" si="2"/>
        <v>1289727</v>
      </c>
      <c r="H7" s="86">
        <f>SUM(POPULATION_DATA!AC35:AL35)</f>
        <v>493487</v>
      </c>
      <c r="I7" s="86">
        <f>SUM(POPULATION_DATA!AC21:AL21)</f>
        <v>492375</v>
      </c>
      <c r="J7" s="86">
        <f t="shared" si="3"/>
        <v>985862</v>
      </c>
      <c r="K7" s="86">
        <f>SUM(POPULATION_DATA!AM35:AV35)</f>
        <v>402161</v>
      </c>
      <c r="L7" s="86">
        <f>SUM(POPULATION_DATA!AM21:AV21)</f>
        <v>366337</v>
      </c>
      <c r="M7" s="86">
        <f t="shared" si="4"/>
        <v>768498</v>
      </c>
      <c r="N7" s="86">
        <f>SUM(POPULATION_DATA!AW35:BF35)</f>
        <v>271826</v>
      </c>
      <c r="O7" s="86">
        <f>SUM(POPULATION_DATA!AW21:BF21)</f>
        <v>198255</v>
      </c>
      <c r="P7" s="86">
        <f t="shared" si="5"/>
        <v>470081</v>
      </c>
      <c r="Q7" s="86">
        <f>SUM(POPULATION_DATA!BG35:BV35)</f>
        <v>132308</v>
      </c>
      <c r="R7" s="86">
        <f>SUM(POPULATION_DATA!BG21:BV21)</f>
        <v>61860</v>
      </c>
      <c r="S7" s="86">
        <f t="shared" si="6"/>
        <v>194168</v>
      </c>
      <c r="T7" s="121">
        <f t="shared" si="0"/>
        <v>4313647</v>
      </c>
      <c r="U7" s="126"/>
      <c r="W7" s="122"/>
      <c r="X7" s="96"/>
      <c r="Y7" s="96"/>
      <c r="Z7" s="96"/>
      <c r="AA7" s="96"/>
      <c r="AB7" s="96"/>
      <c r="AC7" s="96"/>
      <c r="AD7" s="96"/>
      <c r="AE7" s="123"/>
      <c r="AF7" s="124"/>
      <c r="AG7" s="124"/>
      <c r="AH7" s="124"/>
      <c r="AI7" s="124"/>
      <c r="AJ7" s="124"/>
      <c r="AK7" s="124"/>
    </row>
    <row r="8" spans="1:37" x14ac:dyDescent="0.25">
      <c r="A8" s="14">
        <v>2014</v>
      </c>
      <c r="B8" s="91">
        <f>SUM(POPULATION_DATA!N36:R36)</f>
        <v>296446</v>
      </c>
      <c r="C8" s="91">
        <f>SUM(POPULATION_DATA!N22:R22)</f>
        <v>301314</v>
      </c>
      <c r="D8" s="86">
        <f t="shared" si="1"/>
        <v>597760</v>
      </c>
      <c r="E8" s="86">
        <f>SUM(POPULATION_DATA!S36:AB36)</f>
        <v>645014</v>
      </c>
      <c r="F8" s="86">
        <f>SUM(POPULATION_DATA!S22:AB22)</f>
        <v>659701</v>
      </c>
      <c r="G8" s="86">
        <f t="shared" si="2"/>
        <v>1304715</v>
      </c>
      <c r="H8" s="86">
        <f>SUM(POPULATION_DATA!AC36:AL36)</f>
        <v>503640</v>
      </c>
      <c r="I8" s="86">
        <f>SUM(POPULATION_DATA!AC22:AL22)</f>
        <v>503309</v>
      </c>
      <c r="J8" s="86">
        <f t="shared" si="3"/>
        <v>1006949</v>
      </c>
      <c r="K8" s="86">
        <f>SUM(POPULATION_DATA!AM36:AV36)</f>
        <v>411334</v>
      </c>
      <c r="L8" s="86">
        <f>SUM(POPULATION_DATA!AM22:AV22)</f>
        <v>375948</v>
      </c>
      <c r="M8" s="86">
        <f t="shared" si="4"/>
        <v>787282</v>
      </c>
      <c r="N8" s="86">
        <f>SUM(POPULATION_DATA!AW36:BF36)</f>
        <v>274689</v>
      </c>
      <c r="O8" s="86">
        <f>SUM(POPULATION_DATA!AW22:BF22)</f>
        <v>203394</v>
      </c>
      <c r="P8" s="86">
        <f t="shared" si="5"/>
        <v>478083</v>
      </c>
      <c r="Q8" s="86">
        <f>SUM(POPULATION_DATA!BG36:BV36)</f>
        <v>135841</v>
      </c>
      <c r="R8" s="86">
        <f>SUM(POPULATION_DATA!BG22:BV22)</f>
        <v>64359</v>
      </c>
      <c r="S8" s="86">
        <f t="shared" si="6"/>
        <v>200200</v>
      </c>
      <c r="T8" s="121">
        <f t="shared" si="0"/>
        <v>4374989</v>
      </c>
      <c r="U8" s="126"/>
      <c r="W8" s="122"/>
      <c r="X8" s="96"/>
      <c r="Y8" s="96"/>
      <c r="Z8" s="96"/>
      <c r="AA8" s="96"/>
      <c r="AB8" s="96"/>
      <c r="AC8" s="96"/>
      <c r="AD8" s="96"/>
      <c r="AE8" s="123"/>
      <c r="AF8" s="124"/>
      <c r="AG8" s="124"/>
      <c r="AH8" s="124"/>
      <c r="AI8" s="124"/>
      <c r="AJ8" s="124"/>
      <c r="AK8" s="124"/>
    </row>
    <row r="9" spans="1:37" x14ac:dyDescent="0.25">
      <c r="A9" s="14">
        <v>2015</v>
      </c>
      <c r="B9" s="91">
        <f>SUM(POPULATION_DATA!N37:R37)</f>
        <v>292776</v>
      </c>
      <c r="C9" s="91">
        <f>SUM(POPULATION_DATA!N23:R23)</f>
        <v>297391</v>
      </c>
      <c r="D9" s="86">
        <f t="shared" si="1"/>
        <v>590167</v>
      </c>
      <c r="E9" s="86">
        <f>SUM(POPULATION_DATA!S37:AB37)</f>
        <v>648856</v>
      </c>
      <c r="F9" s="86">
        <f>SUM(POPULATION_DATA!S23:AB23)</f>
        <v>663163</v>
      </c>
      <c r="G9" s="86">
        <f t="shared" si="2"/>
        <v>1312019</v>
      </c>
      <c r="H9" s="86">
        <f>SUM(POPULATION_DATA!AC37:AL37)</f>
        <v>514463</v>
      </c>
      <c r="I9" s="86">
        <f>SUM(POPULATION_DATA!AC23:AL23)</f>
        <v>514793</v>
      </c>
      <c r="J9" s="86">
        <f t="shared" si="3"/>
        <v>1029256</v>
      </c>
      <c r="K9" s="86">
        <f>SUM(POPULATION_DATA!AM37:AV37)</f>
        <v>419695</v>
      </c>
      <c r="L9" s="86">
        <f>SUM(POPULATION_DATA!AM23:AV23)</f>
        <v>385147</v>
      </c>
      <c r="M9" s="86">
        <f t="shared" si="4"/>
        <v>804842</v>
      </c>
      <c r="N9" s="86">
        <f>SUM(POPULATION_DATA!AW37:BF37)</f>
        <v>277141</v>
      </c>
      <c r="O9" s="86">
        <f>SUM(POPULATION_DATA!AW23:BF23)</f>
        <v>207705</v>
      </c>
      <c r="P9" s="86">
        <f t="shared" si="5"/>
        <v>484846</v>
      </c>
      <c r="Q9" s="86">
        <f>SUM(POPULATION_DATA!BG37:BV37)</f>
        <v>138590</v>
      </c>
      <c r="R9" s="86">
        <f>SUM(POPULATION_DATA!BG23:BV23)</f>
        <v>66774</v>
      </c>
      <c r="S9" s="86">
        <f t="shared" si="6"/>
        <v>205364</v>
      </c>
      <c r="T9" s="121">
        <f t="shared" si="0"/>
        <v>4426494</v>
      </c>
      <c r="U9" s="126"/>
      <c r="W9" s="122"/>
      <c r="X9" s="96"/>
      <c r="Y9" s="96"/>
      <c r="Z9" s="96"/>
      <c r="AA9" s="96"/>
      <c r="AB9" s="96"/>
      <c r="AC9" s="96"/>
      <c r="AD9" s="96"/>
      <c r="AE9" s="123"/>
      <c r="AF9" s="124"/>
      <c r="AG9" s="124"/>
      <c r="AH9" s="124"/>
      <c r="AI9" s="124"/>
      <c r="AJ9" s="124"/>
      <c r="AK9" s="124"/>
    </row>
    <row r="10" spans="1:37" x14ac:dyDescent="0.25">
      <c r="A10" s="14">
        <v>2016</v>
      </c>
      <c r="B10" s="91">
        <f>SUM(POPULATION_DATA!N38:R38)</f>
        <v>289994</v>
      </c>
      <c r="C10" s="91">
        <f>SUM(POPULATION_DATA!N24:R24)</f>
        <v>294236</v>
      </c>
      <c r="D10" s="86">
        <f t="shared" si="1"/>
        <v>584230</v>
      </c>
      <c r="E10" s="86">
        <f>SUM(POPULATION_DATA!S38:AB38)</f>
        <v>650254</v>
      </c>
      <c r="F10" s="86">
        <f>SUM(POPULATION_DATA!S24:AB24)</f>
        <v>663466</v>
      </c>
      <c r="G10" s="86">
        <f t="shared" si="2"/>
        <v>1313720</v>
      </c>
      <c r="H10" s="86">
        <f>SUM(POPULATION_DATA!AC38:AL38)</f>
        <v>527875</v>
      </c>
      <c r="I10" s="86">
        <f>SUM(POPULATION_DATA!AC24:AL24)</f>
        <v>528645</v>
      </c>
      <c r="J10" s="86">
        <f t="shared" si="3"/>
        <v>1056520</v>
      </c>
      <c r="K10" s="86">
        <f>SUM(POPULATION_DATA!AM38:AV38)</f>
        <v>424323</v>
      </c>
      <c r="L10" s="86">
        <f>SUM(POPULATION_DATA!AM24:AV24)</f>
        <v>390285</v>
      </c>
      <c r="M10" s="86">
        <f t="shared" si="4"/>
        <v>814608</v>
      </c>
      <c r="N10" s="86">
        <f>SUM(POPULATION_DATA!AW38:BF38)</f>
        <v>282264</v>
      </c>
      <c r="O10" s="86">
        <f>SUM(POPULATION_DATA!AW24:BF24)</f>
        <v>214606</v>
      </c>
      <c r="P10" s="86">
        <f t="shared" si="5"/>
        <v>496870</v>
      </c>
      <c r="Q10" s="86">
        <f>SUM(POPULATION_DATA!BG38:BV38)</f>
        <v>141862</v>
      </c>
      <c r="R10" s="86">
        <f>SUM(POPULATION_DATA!BG24:BV24)</f>
        <v>69719</v>
      </c>
      <c r="S10" s="86">
        <f t="shared" si="6"/>
        <v>211581</v>
      </c>
      <c r="T10" s="121">
        <f t="shared" si="0"/>
        <v>4477529</v>
      </c>
      <c r="U10" s="126"/>
      <c r="W10" s="122"/>
      <c r="X10" s="96"/>
      <c r="Y10" s="96"/>
      <c r="Z10" s="96"/>
      <c r="AA10" s="96"/>
      <c r="AB10" s="96"/>
      <c r="AC10" s="96"/>
      <c r="AD10" s="96"/>
      <c r="AE10" s="123"/>
      <c r="AF10" s="124"/>
      <c r="AG10" s="124"/>
      <c r="AH10" s="124"/>
      <c r="AI10" s="124"/>
      <c r="AJ10" s="124"/>
      <c r="AK10" s="124"/>
    </row>
    <row r="11" spans="1:37" x14ac:dyDescent="0.25">
      <c r="A11" s="14">
        <v>2017</v>
      </c>
      <c r="B11" s="91">
        <f>SUM(POPULATION_DATA!N39:R39)</f>
        <v>289365</v>
      </c>
      <c r="C11" s="91">
        <f>SUM(POPULATION_DATA!N25:R25)</f>
        <v>292806</v>
      </c>
      <c r="D11" s="86">
        <f t="shared" si="1"/>
        <v>582171</v>
      </c>
      <c r="E11" s="86">
        <f>SUM(POPULATION_DATA!S39:AB39)</f>
        <v>647507</v>
      </c>
      <c r="F11" s="86">
        <f>SUM(POPULATION_DATA!S25:AB25)</f>
        <v>659185</v>
      </c>
      <c r="G11" s="86">
        <f t="shared" si="2"/>
        <v>1306692</v>
      </c>
      <c r="H11" s="86">
        <f>SUM(POPULATION_DATA!AC39:AL39)</f>
        <v>540598</v>
      </c>
      <c r="I11" s="86">
        <f>SUM(POPULATION_DATA!AC25:AL25)</f>
        <v>542662</v>
      </c>
      <c r="J11" s="86">
        <f t="shared" si="3"/>
        <v>1083260</v>
      </c>
      <c r="K11" s="86">
        <f>SUM(POPULATION_DATA!AM39:AV39)</f>
        <v>428381</v>
      </c>
      <c r="L11" s="86">
        <f>SUM(POPULATION_DATA!AM25:AV25)</f>
        <v>393472</v>
      </c>
      <c r="M11" s="86">
        <f t="shared" si="4"/>
        <v>821853</v>
      </c>
      <c r="N11" s="86">
        <f>SUM(POPULATION_DATA!AW39:BF39)</f>
        <v>288420</v>
      </c>
      <c r="O11" s="86">
        <f>SUM(POPULATION_DATA!AW25:BF25)</f>
        <v>222953</v>
      </c>
      <c r="P11" s="86">
        <f t="shared" si="5"/>
        <v>511373</v>
      </c>
      <c r="Q11" s="86">
        <f>SUM(POPULATION_DATA!BG39:BV39)</f>
        <v>144578</v>
      </c>
      <c r="R11" s="86">
        <f>SUM(POPULATION_DATA!BG25:BV25)</f>
        <v>72561</v>
      </c>
      <c r="S11" s="86">
        <f t="shared" si="6"/>
        <v>217139</v>
      </c>
      <c r="T11" s="121">
        <f t="shared" si="0"/>
        <v>4522488</v>
      </c>
      <c r="U11" s="126"/>
      <c r="W11" s="122"/>
      <c r="X11" s="96"/>
      <c r="Y11" s="96"/>
      <c r="Z11" s="96"/>
      <c r="AA11" s="96"/>
      <c r="AB11" s="96"/>
      <c r="AC11" s="96"/>
      <c r="AD11" s="96"/>
      <c r="AE11" s="123"/>
      <c r="AF11" s="124"/>
      <c r="AG11" s="124"/>
      <c r="AH11" s="124"/>
      <c r="AI11" s="124"/>
      <c r="AJ11" s="124"/>
      <c r="AK11" s="124"/>
    </row>
    <row r="12" spans="1:37" x14ac:dyDescent="0.25">
      <c r="A12" s="14">
        <v>2018</v>
      </c>
      <c r="B12" s="91">
        <f>SUM(POPULATION_DATA!N40:R40)</f>
        <v>290066</v>
      </c>
      <c r="C12" s="91">
        <f>SUM(POPULATION_DATA!N26:R26)</f>
        <v>293717</v>
      </c>
      <c r="D12" s="86">
        <f t="shared" si="1"/>
        <v>583783</v>
      </c>
      <c r="E12" s="86">
        <f>SUM(POPULATION_DATA!S40:AB40)</f>
        <v>640952</v>
      </c>
      <c r="F12" s="86">
        <f>SUM(POPULATION_DATA!S26:AB26)</f>
        <v>650843</v>
      </c>
      <c r="G12" s="86">
        <f t="shared" si="2"/>
        <v>1291795</v>
      </c>
      <c r="H12" s="86">
        <f>SUM(POPULATION_DATA!AC40:AL40)</f>
        <v>555388</v>
      </c>
      <c r="I12" s="86">
        <f>SUM(POPULATION_DATA!AC26:AL26)</f>
        <v>558873</v>
      </c>
      <c r="J12" s="86">
        <f t="shared" si="3"/>
        <v>1114261</v>
      </c>
      <c r="K12" s="86">
        <f>SUM(POPULATION_DATA!AM40:AV40)</f>
        <v>430703</v>
      </c>
      <c r="L12" s="86">
        <f>SUM(POPULATION_DATA!AM26:AV26)</f>
        <v>395409</v>
      </c>
      <c r="M12" s="86">
        <f t="shared" si="4"/>
        <v>826112</v>
      </c>
      <c r="N12" s="86">
        <f>SUM(POPULATION_DATA!AW40:BF40)</f>
        <v>296133</v>
      </c>
      <c r="O12" s="86">
        <f>SUM(POPULATION_DATA!AW26:BF26)</f>
        <v>232236</v>
      </c>
      <c r="P12" s="86">
        <f t="shared" si="5"/>
        <v>528369</v>
      </c>
      <c r="Q12" s="86">
        <f>SUM(POPULATION_DATA!BG40:BV40)</f>
        <v>147414</v>
      </c>
      <c r="R12" s="86">
        <f>SUM(POPULATION_DATA!BG26:BV26)</f>
        <v>75406</v>
      </c>
      <c r="S12" s="86">
        <f t="shared" si="6"/>
        <v>222820</v>
      </c>
      <c r="T12" s="121">
        <f t="shared" si="0"/>
        <v>4567140</v>
      </c>
      <c r="U12" s="126"/>
      <c r="W12" s="122"/>
      <c r="X12" s="96"/>
      <c r="Y12" s="96"/>
      <c r="Z12" s="96"/>
      <c r="AA12" s="96"/>
      <c r="AB12" s="96"/>
      <c r="AC12" s="96"/>
      <c r="AD12" s="96"/>
      <c r="AE12" s="123"/>
      <c r="AF12" s="124"/>
      <c r="AG12" s="124"/>
      <c r="AH12" s="124"/>
      <c r="AI12" s="124"/>
      <c r="AJ12" s="124"/>
      <c r="AK12" s="124"/>
    </row>
    <row r="13" spans="1:37" x14ac:dyDescent="0.25">
      <c r="A13" s="87">
        <v>2019</v>
      </c>
      <c r="B13" s="91">
        <f>SUM(POPULATION_DATA!N41:R41)</f>
        <v>292439</v>
      </c>
      <c r="C13" s="104">
        <f>SUM(POPULATION_DATA!N27:R27)</f>
        <v>295717</v>
      </c>
      <c r="D13" s="86">
        <f t="shared" si="1"/>
        <v>588156</v>
      </c>
      <c r="E13" s="86">
        <f>SUM(POPULATION_DATA!S41:AB41)</f>
        <v>632270</v>
      </c>
      <c r="F13" s="86">
        <f>SUM(POPULATION_DATA!S27:AB27)</f>
        <v>640716</v>
      </c>
      <c r="G13" s="86">
        <f t="shared" si="2"/>
        <v>1272986</v>
      </c>
      <c r="H13" s="86">
        <f>SUM(POPULATION_DATA!AC41:AL41)</f>
        <v>571378</v>
      </c>
      <c r="I13" s="86">
        <f>SUM(POPULATION_DATA!AC27:AL27)</f>
        <v>575989</v>
      </c>
      <c r="J13" s="86">
        <f t="shared" si="3"/>
        <v>1147367</v>
      </c>
      <c r="K13" s="86">
        <f>SUM(POPULATION_DATA!AM41:AV41)</f>
        <v>433165</v>
      </c>
      <c r="L13" s="86">
        <f>SUM(POPULATION_DATA!AM27:AV27)</f>
        <v>397538</v>
      </c>
      <c r="M13" s="86">
        <f t="shared" si="4"/>
        <v>830703</v>
      </c>
      <c r="N13" s="86">
        <f>SUM(POPULATION_DATA!AW41:BF41)</f>
        <v>304273</v>
      </c>
      <c r="O13" s="86">
        <f>SUM(POPULATION_DATA!AW27:BF27)</f>
        <v>241667</v>
      </c>
      <c r="P13" s="86">
        <f t="shared" si="5"/>
        <v>545940</v>
      </c>
      <c r="Q13" s="86">
        <f>SUM(POPULATION_DATA!BG41:BV41)</f>
        <v>150358</v>
      </c>
      <c r="R13" s="86">
        <f>SUM(POPULATION_DATA!BG27:BV27)</f>
        <v>78799</v>
      </c>
      <c r="S13" s="86">
        <f t="shared" si="6"/>
        <v>229157</v>
      </c>
      <c r="T13" s="121">
        <f t="shared" si="0"/>
        <v>4614309</v>
      </c>
      <c r="U13" s="126"/>
      <c r="W13" s="122"/>
      <c r="X13" s="96"/>
      <c r="Y13" s="96"/>
      <c r="Z13" s="96"/>
      <c r="AA13" s="96"/>
      <c r="AB13" s="96"/>
      <c r="AC13" s="96"/>
      <c r="AD13" s="96"/>
      <c r="AE13" s="123"/>
      <c r="AF13" s="124"/>
      <c r="AG13" s="124"/>
      <c r="AH13" s="124"/>
      <c r="AI13" s="124"/>
      <c r="AJ13" s="124"/>
      <c r="AK13" s="124"/>
    </row>
    <row r="14" spans="1:37" x14ac:dyDescent="0.25">
      <c r="A14" s="66"/>
      <c r="B14" s="66"/>
      <c r="C14" s="103"/>
      <c r="D14" s="92"/>
      <c r="E14" s="92"/>
      <c r="F14" s="92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  <c r="X14" s="95"/>
      <c r="Y14" s="95"/>
      <c r="Z14" s="95"/>
      <c r="AA14" s="95"/>
      <c r="AB14" s="95"/>
      <c r="AC14" s="95"/>
      <c r="AD14" s="96"/>
      <c r="AE14" s="97"/>
      <c r="AF14" s="98"/>
      <c r="AG14" s="99"/>
      <c r="AH14" s="99"/>
      <c r="AI14" s="99"/>
      <c r="AJ14" s="98"/>
      <c r="AK14" s="99"/>
    </row>
    <row r="15" spans="1:37" x14ac:dyDescent="0.25">
      <c r="A15" s="66"/>
      <c r="B15" s="103"/>
      <c r="C15" s="66"/>
      <c r="D15" s="92"/>
      <c r="E15" s="92"/>
      <c r="F15" s="92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4"/>
      <c r="X15" s="95"/>
      <c r="Y15" s="95"/>
      <c r="Z15" s="95"/>
      <c r="AA15" s="95"/>
      <c r="AB15" s="95"/>
      <c r="AC15" s="95"/>
      <c r="AD15" s="96"/>
      <c r="AE15" s="97"/>
      <c r="AF15" s="98"/>
      <c r="AG15" s="99"/>
      <c r="AH15" s="99"/>
      <c r="AI15" s="99"/>
      <c r="AJ15" s="98"/>
      <c r="AK15" s="99"/>
    </row>
    <row r="16" spans="1:37" ht="27" thickBot="1" x14ac:dyDescent="0.3">
      <c r="A16" s="9" t="s">
        <v>13</v>
      </c>
      <c r="B16"/>
      <c r="C16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4"/>
      <c r="X16" s="95"/>
      <c r="Y16" s="95"/>
      <c r="Z16" s="95"/>
      <c r="AA16" s="95"/>
      <c r="AB16" s="95"/>
      <c r="AC16" s="95"/>
      <c r="AD16" s="96"/>
      <c r="AE16" s="97"/>
      <c r="AF16" s="98"/>
      <c r="AG16" s="99"/>
      <c r="AH16" s="99"/>
      <c r="AI16" s="99"/>
      <c r="AJ16" s="98"/>
      <c r="AK16" s="99"/>
    </row>
    <row r="17" spans="1:37" ht="29.25" customHeight="1" thickBot="1" x14ac:dyDescent="0.3">
      <c r="A17" s="135" t="s">
        <v>1</v>
      </c>
      <c r="B17" s="136"/>
      <c r="C17" s="136"/>
      <c r="D17" s="129" t="s">
        <v>14</v>
      </c>
      <c r="E17" s="137"/>
      <c r="F17" s="137"/>
      <c r="G17" s="129" t="s">
        <v>15</v>
      </c>
      <c r="H17" s="137"/>
      <c r="I17" s="137"/>
      <c r="J17" s="129" t="s">
        <v>16</v>
      </c>
      <c r="K17" s="137"/>
      <c r="L17" s="137"/>
      <c r="M17" s="129" t="s">
        <v>17</v>
      </c>
      <c r="N17" s="137"/>
      <c r="O17" s="137"/>
      <c r="P17" s="129" t="s">
        <v>18</v>
      </c>
      <c r="Q17" s="137"/>
      <c r="R17" s="137"/>
      <c r="S17" s="129" t="s">
        <v>19</v>
      </c>
      <c r="T17" s="138"/>
      <c r="U17" s="93"/>
      <c r="V17" s="146"/>
      <c r="W17" s="94"/>
      <c r="X17" s="95"/>
      <c r="Y17" s="95"/>
      <c r="Z17" s="95"/>
      <c r="AA17" s="95"/>
      <c r="AB17" s="95"/>
      <c r="AC17" s="95"/>
      <c r="AD17" s="96"/>
      <c r="AE17" s="97"/>
      <c r="AF17" s="98"/>
      <c r="AG17" s="99"/>
      <c r="AH17" s="99"/>
      <c r="AI17" s="99"/>
      <c r="AJ17" s="98"/>
      <c r="AK17" s="99"/>
    </row>
    <row r="18" spans="1:37" s="140" customFormat="1" ht="30" customHeight="1" x14ac:dyDescent="0.25">
      <c r="A18" s="118" t="s">
        <v>9</v>
      </c>
      <c r="B18" s="139" t="s">
        <v>10</v>
      </c>
      <c r="C18" s="139" t="s">
        <v>11</v>
      </c>
      <c r="D18" s="133" t="s">
        <v>12</v>
      </c>
      <c r="E18" s="139" t="s">
        <v>10</v>
      </c>
      <c r="F18" s="139" t="s">
        <v>11</v>
      </c>
      <c r="G18" s="133" t="s">
        <v>12</v>
      </c>
      <c r="H18" s="139" t="s">
        <v>10</v>
      </c>
      <c r="I18" s="139" t="s">
        <v>11</v>
      </c>
      <c r="J18" s="133" t="s">
        <v>12</v>
      </c>
      <c r="K18" s="139" t="s">
        <v>10</v>
      </c>
      <c r="L18" s="139" t="s">
        <v>11</v>
      </c>
      <c r="M18" s="133" t="s">
        <v>12</v>
      </c>
      <c r="N18" s="139" t="s">
        <v>10</v>
      </c>
      <c r="O18" s="139" t="s">
        <v>11</v>
      </c>
      <c r="P18" s="133" t="s">
        <v>12</v>
      </c>
      <c r="Q18" s="139" t="s">
        <v>10</v>
      </c>
      <c r="R18" s="139" t="s">
        <v>11</v>
      </c>
      <c r="S18" s="133" t="s">
        <v>12</v>
      </c>
      <c r="T18" s="134"/>
      <c r="U18" s="93"/>
      <c r="V18" s="146"/>
      <c r="W18" s="94"/>
      <c r="X18" s="95"/>
      <c r="Y18" s="95"/>
      <c r="Z18" s="95"/>
      <c r="AA18" s="95"/>
      <c r="AB18" s="95"/>
      <c r="AC18" s="95"/>
      <c r="AD18" s="96"/>
      <c r="AE18" s="97"/>
      <c r="AF18" s="98"/>
      <c r="AG18" s="99"/>
      <c r="AH18" s="99"/>
      <c r="AI18" s="99"/>
      <c r="AJ18" s="98"/>
      <c r="AK18" s="99"/>
    </row>
    <row r="19" spans="1:37" s="72" customFormat="1" x14ac:dyDescent="0.25">
      <c r="A19" s="19">
        <v>2010</v>
      </c>
      <c r="B19" s="131">
        <f>B4*$C$48</f>
        <v>10111.487999999999</v>
      </c>
      <c r="C19" s="131">
        <f>C4*$D$48</f>
        <v>6128.4954666666672</v>
      </c>
      <c r="D19" s="130">
        <f>B19+C19</f>
        <v>16239.983466666667</v>
      </c>
      <c r="E19" s="132">
        <f>$C$49*E4</f>
        <v>72095.520000000004</v>
      </c>
      <c r="F19" s="132">
        <f>$D$49*F4</f>
        <v>43704.886999999995</v>
      </c>
      <c r="G19" s="130">
        <f>E19+F19</f>
        <v>115800.40700000001</v>
      </c>
      <c r="H19" s="132">
        <f>$C$50*H4</f>
        <v>75026.384999999995</v>
      </c>
      <c r="I19" s="132">
        <f>$D$50*I4</f>
        <v>43595.790299999986</v>
      </c>
      <c r="J19" s="130">
        <f>H19+I19</f>
        <v>118622.17529999997</v>
      </c>
      <c r="K19" s="132">
        <f>$C$51*K4</f>
        <v>63176.7739</v>
      </c>
      <c r="L19" s="132">
        <f>$D$51*L4</f>
        <v>33201.205699999999</v>
      </c>
      <c r="M19" s="130">
        <f>K19+L19</f>
        <v>96377.979599999991</v>
      </c>
      <c r="N19" s="132">
        <f>$C$52*N4</f>
        <v>47026.576399999998</v>
      </c>
      <c r="O19" s="132">
        <f>$D$52*O4</f>
        <v>19300.714999999997</v>
      </c>
      <c r="P19" s="130">
        <f>N19+O19</f>
        <v>66327.291399999987</v>
      </c>
      <c r="Q19" s="132">
        <f>$C$53*Q4</f>
        <v>22058.623999999996</v>
      </c>
      <c r="R19" s="132">
        <f>$D$53*R4</f>
        <v>5902.220800000001</v>
      </c>
      <c r="S19" s="130">
        <f>Q19+R19</f>
        <v>27960.844799999999</v>
      </c>
      <c r="T19" s="130"/>
      <c r="U19" s="93"/>
      <c r="V19" s="146"/>
      <c r="W19" s="95"/>
      <c r="X19" s="95"/>
      <c r="Y19" s="95"/>
      <c r="Z19" s="95"/>
      <c r="AA19" s="95"/>
      <c r="AB19" s="95"/>
      <c r="AC19" s="95"/>
      <c r="AD19" s="96"/>
      <c r="AE19" s="127"/>
      <c r="AF19" s="128"/>
      <c r="AG19" s="127"/>
      <c r="AH19" s="127"/>
      <c r="AI19" s="127"/>
      <c r="AJ19" s="128"/>
      <c r="AK19" s="127"/>
    </row>
    <row r="20" spans="1:37" s="72" customFormat="1" x14ac:dyDescent="0.25">
      <c r="A20" s="19">
        <v>2011</v>
      </c>
      <c r="B20" s="131">
        <f t="shared" ref="B20:B27" si="7">B5*$C$48</f>
        <v>9976.1280000000006</v>
      </c>
      <c r="C20" s="131">
        <f t="shared" ref="C20:C28" si="8">C5*$D$48</f>
        <v>6034.0502666666671</v>
      </c>
      <c r="D20" s="130">
        <f t="shared" ref="D20:D28" si="9">B20+C20</f>
        <v>16010.178266666668</v>
      </c>
      <c r="E20" s="132">
        <f t="shared" ref="E20:E27" si="10">$C$49*E5</f>
        <v>73770.599999999991</v>
      </c>
      <c r="F20" s="132">
        <f t="shared" ref="F20:F28" si="11">$D$49*F5</f>
        <v>44674.728099999993</v>
      </c>
      <c r="G20" s="130">
        <f t="shared" ref="G20:G28" si="12">E20+F20</f>
        <v>118445.32809999998</v>
      </c>
      <c r="H20" s="132">
        <f t="shared" ref="H20:H28" si="13">$C$50*H5</f>
        <v>75682.214999999997</v>
      </c>
      <c r="I20" s="132">
        <f t="shared" ref="I20:I28" si="14">$D$50*I5</f>
        <v>44174.052899999988</v>
      </c>
      <c r="J20" s="130">
        <f t="shared" ref="J20:J28" si="15">H20+I20</f>
        <v>119856.26789999998</v>
      </c>
      <c r="K20" s="132">
        <f t="shared" ref="K20:K28" si="16">$C$51*K5</f>
        <v>65013.436199999996</v>
      </c>
      <c r="L20" s="132">
        <f t="shared" ref="L20:L28" si="17">$D$51*L5</f>
        <v>34407.012299999995</v>
      </c>
      <c r="M20" s="130">
        <f t="shared" ref="M20:M28" si="18">K20+L20</f>
        <v>99420.448499999999</v>
      </c>
      <c r="N20" s="132">
        <f t="shared" ref="N20:N28" si="19">$C$52*N5</f>
        <v>47422.086799999997</v>
      </c>
      <c r="O20" s="132">
        <f t="shared" ref="O20:O28" si="20">$D$52*O5</f>
        <v>19741.069599999999</v>
      </c>
      <c r="P20" s="130">
        <f t="shared" ref="P20:P28" si="21">N20+O20</f>
        <v>67163.156399999993</v>
      </c>
      <c r="Q20" s="132">
        <f t="shared" ref="Q20:Q28" si="22">$C$53*Q5</f>
        <v>22761.446399999997</v>
      </c>
      <c r="R20" s="132">
        <f t="shared" ref="R20:R28" si="23">$D$53*R5</f>
        <v>6148.3240000000014</v>
      </c>
      <c r="S20" s="130">
        <f t="shared" ref="S20:S28" si="24">Q20+R20</f>
        <v>28909.770399999998</v>
      </c>
      <c r="T20" s="130"/>
      <c r="U20" s="93"/>
      <c r="V20" s="146"/>
      <c r="W20" s="95"/>
      <c r="X20" s="95"/>
      <c r="Y20" s="95"/>
      <c r="Z20" s="95"/>
      <c r="AA20" s="95"/>
      <c r="AB20" s="95"/>
      <c r="AC20" s="95"/>
      <c r="AD20" s="96"/>
      <c r="AE20" s="127"/>
      <c r="AF20" s="128"/>
      <c r="AG20" s="127"/>
      <c r="AH20" s="127"/>
      <c r="AI20" s="127"/>
      <c r="AJ20" s="128"/>
      <c r="AK20" s="127"/>
    </row>
    <row r="21" spans="1:37" s="72" customFormat="1" x14ac:dyDescent="0.25">
      <c r="A21" s="19">
        <v>2012</v>
      </c>
      <c r="B21" s="131">
        <f t="shared" si="7"/>
        <v>9805.5040000000008</v>
      </c>
      <c r="C21" s="131">
        <f t="shared" si="8"/>
        <v>5954.7294000000002</v>
      </c>
      <c r="D21" s="130">
        <f t="shared" si="9"/>
        <v>15760.233400000001</v>
      </c>
      <c r="E21" s="132">
        <f t="shared" si="10"/>
        <v>75160.319999999992</v>
      </c>
      <c r="F21" s="132">
        <f t="shared" si="11"/>
        <v>45473.203899999993</v>
      </c>
      <c r="G21" s="130">
        <f t="shared" si="12"/>
        <v>120633.52389999999</v>
      </c>
      <c r="H21" s="132">
        <f t="shared" si="13"/>
        <v>76645.957500000004</v>
      </c>
      <c r="I21" s="132">
        <f t="shared" si="14"/>
        <v>44839.268099999987</v>
      </c>
      <c r="J21" s="130">
        <f t="shared" si="15"/>
        <v>121485.22559999999</v>
      </c>
      <c r="K21" s="132">
        <f t="shared" si="16"/>
        <v>66902.735700000005</v>
      </c>
      <c r="L21" s="132">
        <f t="shared" si="17"/>
        <v>35611.314399999996</v>
      </c>
      <c r="M21" s="130">
        <f t="shared" si="18"/>
        <v>102514.05009999999</v>
      </c>
      <c r="N21" s="132">
        <f t="shared" si="19"/>
        <v>47722.0864</v>
      </c>
      <c r="O21" s="132">
        <f t="shared" si="20"/>
        <v>20188.933799999999</v>
      </c>
      <c r="P21" s="130">
        <f t="shared" si="21"/>
        <v>67911.020199999999</v>
      </c>
      <c r="Q21" s="132">
        <f t="shared" si="22"/>
        <v>23220.377599999996</v>
      </c>
      <c r="R21" s="132">
        <f t="shared" si="23"/>
        <v>6345.8024000000014</v>
      </c>
      <c r="S21" s="130">
        <f t="shared" si="24"/>
        <v>29566.179999999997</v>
      </c>
      <c r="T21" s="130"/>
      <c r="U21" s="93"/>
      <c r="V21" s="146"/>
      <c r="W21" s="95"/>
      <c r="X21" s="95"/>
      <c r="Y21" s="95"/>
      <c r="Z21" s="95"/>
      <c r="AA21" s="95"/>
      <c r="AB21" s="95"/>
      <c r="AC21" s="95"/>
      <c r="AD21" s="96"/>
      <c r="AE21" s="127"/>
      <c r="AF21" s="128"/>
      <c r="AG21" s="127"/>
      <c r="AH21" s="127"/>
      <c r="AI21" s="127"/>
      <c r="AJ21" s="128"/>
      <c r="AK21" s="127"/>
    </row>
    <row r="22" spans="1:37" s="72" customFormat="1" x14ac:dyDescent="0.25">
      <c r="A22" s="19">
        <v>2013</v>
      </c>
      <c r="B22" s="131">
        <f t="shared" si="7"/>
        <v>9626.9439999999995</v>
      </c>
      <c r="C22" s="131">
        <f t="shared" si="8"/>
        <v>5866.1027333333341</v>
      </c>
      <c r="D22" s="130">
        <f t="shared" si="9"/>
        <v>15493.046733333333</v>
      </c>
      <c r="E22" s="132">
        <f t="shared" si="10"/>
        <v>76503.839999999997</v>
      </c>
      <c r="F22" s="132">
        <f t="shared" si="11"/>
        <v>46240.625499999995</v>
      </c>
      <c r="G22" s="130">
        <f t="shared" si="12"/>
        <v>122744.46549999999</v>
      </c>
      <c r="H22" s="132">
        <f t="shared" si="13"/>
        <v>77724.202499999999</v>
      </c>
      <c r="I22" s="132">
        <f t="shared" si="14"/>
        <v>45643.162499999991</v>
      </c>
      <c r="J22" s="130">
        <f t="shared" si="15"/>
        <v>123367.36499999999</v>
      </c>
      <c r="K22" s="132">
        <f t="shared" si="16"/>
        <v>68729.314899999998</v>
      </c>
      <c r="L22" s="132">
        <f t="shared" si="17"/>
        <v>36743.601099999993</v>
      </c>
      <c r="M22" s="130">
        <f t="shared" si="18"/>
        <v>105472.916</v>
      </c>
      <c r="N22" s="132">
        <f t="shared" si="19"/>
        <v>48167.567199999998</v>
      </c>
      <c r="O22" s="132">
        <f t="shared" si="20"/>
        <v>20677.996499999997</v>
      </c>
      <c r="P22" s="130">
        <f t="shared" si="21"/>
        <v>68845.563699999999</v>
      </c>
      <c r="Q22" s="132">
        <f t="shared" si="22"/>
        <v>23709.593599999997</v>
      </c>
      <c r="R22" s="132">
        <f t="shared" si="23"/>
        <v>6581.9040000000014</v>
      </c>
      <c r="S22" s="130">
        <f t="shared" si="24"/>
        <v>30291.497599999999</v>
      </c>
      <c r="T22" s="130"/>
      <c r="U22" s="93"/>
      <c r="V22" s="146"/>
      <c r="W22" s="95"/>
      <c r="X22" s="95"/>
      <c r="Y22" s="95"/>
      <c r="Z22" s="95"/>
      <c r="AA22" s="95"/>
      <c r="AB22" s="95"/>
      <c r="AC22" s="95"/>
      <c r="AD22" s="96"/>
      <c r="AE22" s="127"/>
      <c r="AF22" s="128"/>
      <c r="AG22" s="127"/>
      <c r="AH22" s="127"/>
      <c r="AI22" s="127"/>
      <c r="AJ22" s="128"/>
      <c r="AK22" s="127"/>
    </row>
    <row r="23" spans="1:37" s="72" customFormat="1" x14ac:dyDescent="0.25">
      <c r="A23" s="19">
        <v>2014</v>
      </c>
      <c r="B23" s="131">
        <f t="shared" si="7"/>
        <v>9486.2720000000008</v>
      </c>
      <c r="C23" s="131">
        <f t="shared" si="8"/>
        <v>5805.3164000000006</v>
      </c>
      <c r="D23" s="130">
        <f t="shared" si="9"/>
        <v>15291.588400000001</v>
      </c>
      <c r="E23" s="132">
        <f t="shared" si="10"/>
        <v>77401.679999999993</v>
      </c>
      <c r="F23" s="132">
        <f t="shared" si="11"/>
        <v>46772.800899999995</v>
      </c>
      <c r="G23" s="130">
        <f t="shared" si="12"/>
        <v>124174.4809</v>
      </c>
      <c r="H23" s="132">
        <f t="shared" si="13"/>
        <v>79323.3</v>
      </c>
      <c r="I23" s="132">
        <f t="shared" si="14"/>
        <v>46656.744299999991</v>
      </c>
      <c r="J23" s="130">
        <f t="shared" si="15"/>
        <v>125980.04429999999</v>
      </c>
      <c r="K23" s="132">
        <f t="shared" si="16"/>
        <v>70296.980599999995</v>
      </c>
      <c r="L23" s="132">
        <f t="shared" si="17"/>
        <v>37707.584399999992</v>
      </c>
      <c r="M23" s="130">
        <f t="shared" si="18"/>
        <v>108004.56499999999</v>
      </c>
      <c r="N23" s="132">
        <f t="shared" si="19"/>
        <v>48674.890800000001</v>
      </c>
      <c r="O23" s="132">
        <f t="shared" si="20"/>
        <v>21213.994199999997</v>
      </c>
      <c r="P23" s="130">
        <f t="shared" si="21"/>
        <v>69888.884999999995</v>
      </c>
      <c r="Q23" s="132">
        <f t="shared" si="22"/>
        <v>24342.707199999997</v>
      </c>
      <c r="R23" s="132">
        <f t="shared" si="23"/>
        <v>6847.7976000000017</v>
      </c>
      <c r="S23" s="130">
        <f t="shared" si="24"/>
        <v>31190.504799999999</v>
      </c>
      <c r="T23" s="130"/>
      <c r="U23" s="93"/>
      <c r="V23" s="146"/>
      <c r="W23" s="95"/>
      <c r="X23" s="95"/>
      <c r="Y23" s="95"/>
      <c r="Z23" s="95"/>
      <c r="AA23" s="95"/>
      <c r="AB23" s="95"/>
      <c r="AC23" s="95"/>
      <c r="AD23" s="96"/>
      <c r="AE23" s="127"/>
      <c r="AF23" s="128"/>
      <c r="AG23" s="127"/>
      <c r="AH23" s="127"/>
      <c r="AI23" s="127"/>
      <c r="AJ23" s="128"/>
      <c r="AK23" s="127"/>
    </row>
    <row r="24" spans="1:37" s="72" customFormat="1" x14ac:dyDescent="0.25">
      <c r="A24" s="19">
        <v>2015</v>
      </c>
      <c r="B24" s="131">
        <f t="shared" si="7"/>
        <v>9368.8320000000003</v>
      </c>
      <c r="C24" s="131">
        <f t="shared" si="8"/>
        <v>5729.7332666666671</v>
      </c>
      <c r="D24" s="130">
        <f t="shared" si="9"/>
        <v>15098.565266666668</v>
      </c>
      <c r="E24" s="132">
        <f t="shared" si="10"/>
        <v>77862.720000000001</v>
      </c>
      <c r="F24" s="132">
        <f t="shared" si="11"/>
        <v>47018.256699999991</v>
      </c>
      <c r="G24" s="130">
        <f t="shared" si="12"/>
        <v>124880.9767</v>
      </c>
      <c r="H24" s="132">
        <f t="shared" si="13"/>
        <v>81027.922500000001</v>
      </c>
      <c r="I24" s="132">
        <f t="shared" si="14"/>
        <v>47721.311099999992</v>
      </c>
      <c r="J24" s="130">
        <f t="shared" si="15"/>
        <v>128749.23359999999</v>
      </c>
      <c r="K24" s="132">
        <f t="shared" si="16"/>
        <v>71725.875499999995</v>
      </c>
      <c r="L24" s="132">
        <f t="shared" si="17"/>
        <v>38630.244099999996</v>
      </c>
      <c r="M24" s="130">
        <f t="shared" si="18"/>
        <v>110356.11959999999</v>
      </c>
      <c r="N24" s="132">
        <f t="shared" si="19"/>
        <v>49109.385199999997</v>
      </c>
      <c r="O24" s="132">
        <f t="shared" si="20"/>
        <v>21663.6315</v>
      </c>
      <c r="P24" s="130">
        <f t="shared" si="21"/>
        <v>70773.016699999993</v>
      </c>
      <c r="Q24" s="132">
        <f t="shared" si="22"/>
        <v>24835.327999999998</v>
      </c>
      <c r="R24" s="132">
        <f t="shared" si="23"/>
        <v>7104.7536000000018</v>
      </c>
      <c r="S24" s="130">
        <f t="shared" si="24"/>
        <v>31940.081599999998</v>
      </c>
      <c r="T24" s="130"/>
      <c r="U24" s="93"/>
      <c r="V24" s="146"/>
      <c r="W24" s="95"/>
      <c r="X24" s="95"/>
      <c r="Y24" s="95"/>
      <c r="Z24" s="95"/>
      <c r="AA24" s="95"/>
      <c r="AB24" s="95"/>
      <c r="AC24" s="95"/>
      <c r="AD24" s="96"/>
      <c r="AE24" s="127"/>
      <c r="AF24" s="128"/>
      <c r="AG24" s="127"/>
      <c r="AH24" s="127"/>
      <c r="AI24" s="127"/>
      <c r="AJ24" s="128"/>
      <c r="AK24" s="127"/>
    </row>
    <row r="25" spans="1:37" s="72" customFormat="1" x14ac:dyDescent="0.25">
      <c r="A25" s="19">
        <v>2016</v>
      </c>
      <c r="B25" s="131">
        <f t="shared" si="7"/>
        <v>9279.8080000000009</v>
      </c>
      <c r="C25" s="131">
        <f t="shared" si="8"/>
        <v>5668.9469333333336</v>
      </c>
      <c r="D25" s="130">
        <f t="shared" si="9"/>
        <v>14948.754933333334</v>
      </c>
      <c r="E25" s="132">
        <f t="shared" si="10"/>
        <v>78030.48</v>
      </c>
      <c r="F25" s="132">
        <f t="shared" si="11"/>
        <v>47039.739399999991</v>
      </c>
      <c r="G25" s="130">
        <f t="shared" si="12"/>
        <v>125070.21939999999</v>
      </c>
      <c r="H25" s="132">
        <f t="shared" si="13"/>
        <v>83140.3125</v>
      </c>
      <c r="I25" s="132">
        <f t="shared" si="14"/>
        <v>49005.391499999991</v>
      </c>
      <c r="J25" s="130">
        <f t="shared" si="15"/>
        <v>132145.704</v>
      </c>
      <c r="K25" s="132">
        <f t="shared" si="16"/>
        <v>72516.800699999993</v>
      </c>
      <c r="L25" s="132">
        <f t="shared" si="17"/>
        <v>39145.585499999994</v>
      </c>
      <c r="M25" s="130">
        <f t="shared" si="18"/>
        <v>111662.38619999998</v>
      </c>
      <c r="N25" s="132">
        <f t="shared" si="19"/>
        <v>50017.180800000002</v>
      </c>
      <c r="O25" s="132">
        <f t="shared" si="20"/>
        <v>22383.405799999997</v>
      </c>
      <c r="P25" s="130">
        <f t="shared" si="21"/>
        <v>72400.586599999995</v>
      </c>
      <c r="Q25" s="132">
        <f t="shared" si="22"/>
        <v>25421.670399999995</v>
      </c>
      <c r="R25" s="132">
        <f t="shared" si="23"/>
        <v>7418.1016000000018</v>
      </c>
      <c r="S25" s="130">
        <f t="shared" si="24"/>
        <v>32839.771999999997</v>
      </c>
      <c r="T25" s="130"/>
      <c r="U25" s="93"/>
      <c r="V25" s="146"/>
      <c r="W25" s="95"/>
      <c r="X25" s="95"/>
      <c r="Y25" s="95"/>
      <c r="Z25" s="95"/>
      <c r="AA25" s="95"/>
      <c r="AB25" s="95"/>
      <c r="AC25" s="95"/>
      <c r="AD25" s="96"/>
      <c r="AE25" s="127"/>
      <c r="AF25" s="128"/>
      <c r="AG25" s="127"/>
      <c r="AH25" s="127"/>
      <c r="AI25" s="127"/>
      <c r="AJ25" s="128"/>
      <c r="AK25" s="127"/>
    </row>
    <row r="26" spans="1:37" s="72" customFormat="1" x14ac:dyDescent="0.25">
      <c r="A26" s="19">
        <v>2017</v>
      </c>
      <c r="B26" s="131">
        <f t="shared" si="7"/>
        <v>9259.68</v>
      </c>
      <c r="C26" s="131">
        <f t="shared" si="8"/>
        <v>5641.3956000000007</v>
      </c>
      <c r="D26" s="130">
        <f t="shared" si="9"/>
        <v>14901.0756</v>
      </c>
      <c r="E26" s="132">
        <f t="shared" si="10"/>
        <v>77700.84</v>
      </c>
      <c r="F26" s="132">
        <f t="shared" si="11"/>
        <v>46736.216499999995</v>
      </c>
      <c r="G26" s="130">
        <f t="shared" si="12"/>
        <v>124437.05649999999</v>
      </c>
      <c r="H26" s="132">
        <f t="shared" si="13"/>
        <v>85144.184999999998</v>
      </c>
      <c r="I26" s="132">
        <f t="shared" si="14"/>
        <v>50304.76739999999</v>
      </c>
      <c r="J26" s="130">
        <f t="shared" si="15"/>
        <v>135448.95239999998</v>
      </c>
      <c r="K26" s="132">
        <f t="shared" si="16"/>
        <v>73210.312900000004</v>
      </c>
      <c r="L26" s="132">
        <f t="shared" si="17"/>
        <v>39465.241599999994</v>
      </c>
      <c r="M26" s="130">
        <f t="shared" si="18"/>
        <v>112675.5545</v>
      </c>
      <c r="N26" s="132">
        <f t="shared" si="19"/>
        <v>51108.023999999998</v>
      </c>
      <c r="O26" s="132">
        <f t="shared" si="20"/>
        <v>23253.997899999998</v>
      </c>
      <c r="P26" s="130">
        <f t="shared" si="21"/>
        <v>74362.021899999992</v>
      </c>
      <c r="Q26" s="132">
        <f t="shared" si="22"/>
        <v>25908.377599999996</v>
      </c>
      <c r="R26" s="132">
        <f t="shared" si="23"/>
        <v>7720.4904000000015</v>
      </c>
      <c r="S26" s="130">
        <f t="shared" si="24"/>
        <v>33628.867999999995</v>
      </c>
      <c r="T26" s="130"/>
      <c r="U26" s="93"/>
      <c r="V26" s="146"/>
      <c r="W26" s="95"/>
      <c r="X26" s="95"/>
      <c r="Y26" s="95"/>
      <c r="Z26" s="95"/>
      <c r="AA26" s="95"/>
      <c r="AB26" s="95"/>
      <c r="AC26" s="95"/>
      <c r="AD26" s="96"/>
      <c r="AE26" s="127"/>
      <c r="AF26" s="128"/>
      <c r="AG26" s="127"/>
      <c r="AH26" s="127"/>
      <c r="AI26" s="127"/>
      <c r="AJ26" s="128"/>
      <c r="AK26" s="127"/>
    </row>
    <row r="27" spans="1:37" s="72" customFormat="1" x14ac:dyDescent="0.25">
      <c r="A27" s="19">
        <v>2018</v>
      </c>
      <c r="B27" s="131">
        <f t="shared" si="7"/>
        <v>9282.112000000001</v>
      </c>
      <c r="C27" s="131">
        <f t="shared" si="8"/>
        <v>5658.9475333333339</v>
      </c>
      <c r="D27" s="130">
        <f t="shared" si="9"/>
        <v>14941.059533333335</v>
      </c>
      <c r="E27" s="132">
        <f t="shared" si="10"/>
        <v>76914.239999999991</v>
      </c>
      <c r="F27" s="132">
        <f t="shared" si="11"/>
        <v>46144.768699999993</v>
      </c>
      <c r="G27" s="130">
        <f t="shared" si="12"/>
        <v>123059.00869999998</v>
      </c>
      <c r="H27" s="132">
        <f t="shared" si="13"/>
        <v>87473.61</v>
      </c>
      <c r="I27" s="132">
        <f t="shared" si="14"/>
        <v>51807.527099999985</v>
      </c>
      <c r="J27" s="130">
        <f t="shared" si="15"/>
        <v>139281.13709999999</v>
      </c>
      <c r="K27" s="132">
        <f t="shared" si="16"/>
        <v>73607.142699999997</v>
      </c>
      <c r="L27" s="132">
        <f t="shared" si="17"/>
        <v>39659.522699999994</v>
      </c>
      <c r="M27" s="130">
        <f t="shared" si="18"/>
        <v>113266.6654</v>
      </c>
      <c r="N27" s="132">
        <f t="shared" si="19"/>
        <v>52474.767599999999</v>
      </c>
      <c r="O27" s="132">
        <f t="shared" si="20"/>
        <v>24222.214799999998</v>
      </c>
      <c r="P27" s="130">
        <f t="shared" si="21"/>
        <v>76696.982399999994</v>
      </c>
      <c r="Q27" s="132">
        <f t="shared" si="22"/>
        <v>26416.588799999994</v>
      </c>
      <c r="R27" s="132">
        <f t="shared" si="23"/>
        <v>8023.198400000002</v>
      </c>
      <c r="S27" s="130">
        <f t="shared" si="24"/>
        <v>34439.787199999999</v>
      </c>
      <c r="T27" s="130"/>
      <c r="U27" s="93"/>
      <c r="V27" s="146"/>
      <c r="W27" s="95"/>
      <c r="X27" s="95"/>
      <c r="Y27" s="95"/>
      <c r="Z27" s="95"/>
      <c r="AA27" s="95"/>
      <c r="AB27" s="95"/>
      <c r="AC27" s="95"/>
      <c r="AD27" s="96"/>
      <c r="AE27" s="127"/>
      <c r="AF27" s="128"/>
      <c r="AG27" s="127"/>
      <c r="AH27" s="127"/>
      <c r="AI27" s="127"/>
      <c r="AJ27" s="128"/>
      <c r="AK27" s="127"/>
    </row>
    <row r="28" spans="1:37" s="72" customFormat="1" x14ac:dyDescent="0.25">
      <c r="A28" s="88">
        <v>2019</v>
      </c>
      <c r="B28" s="131">
        <f>B13*$C$48</f>
        <v>9358.0480000000007</v>
      </c>
      <c r="C28" s="131">
        <f t="shared" si="8"/>
        <v>5697.4808666666668</v>
      </c>
      <c r="D28" s="130">
        <f t="shared" si="9"/>
        <v>15055.528866666667</v>
      </c>
      <c r="E28" s="132">
        <f>$C$49*E13</f>
        <v>75872.399999999994</v>
      </c>
      <c r="F28" s="132">
        <f t="shared" si="11"/>
        <v>45426.764399999993</v>
      </c>
      <c r="G28" s="130">
        <f t="shared" si="12"/>
        <v>121299.16439999998</v>
      </c>
      <c r="H28" s="132">
        <f t="shared" si="13"/>
        <v>89992.035000000003</v>
      </c>
      <c r="I28" s="132">
        <f t="shared" si="14"/>
        <v>53394.180299999985</v>
      </c>
      <c r="J28" s="130">
        <f t="shared" si="15"/>
        <v>143386.21529999998</v>
      </c>
      <c r="K28" s="132">
        <f t="shared" si="16"/>
        <v>74027.898499999996</v>
      </c>
      <c r="L28" s="132">
        <f t="shared" si="17"/>
        <v>39873.061399999991</v>
      </c>
      <c r="M28" s="130">
        <f t="shared" si="18"/>
        <v>113900.95989999999</v>
      </c>
      <c r="N28" s="132">
        <f t="shared" si="19"/>
        <v>53917.175600000002</v>
      </c>
      <c r="O28" s="132">
        <f t="shared" si="20"/>
        <v>25205.868099999996</v>
      </c>
      <c r="P28" s="130">
        <f t="shared" si="21"/>
        <v>79123.043699999995</v>
      </c>
      <c r="Q28" s="132">
        <f t="shared" si="22"/>
        <v>26944.153599999994</v>
      </c>
      <c r="R28" s="132">
        <f t="shared" si="23"/>
        <v>8384.213600000001</v>
      </c>
      <c r="S28" s="130">
        <f t="shared" si="24"/>
        <v>35328.367199999993</v>
      </c>
      <c r="T28" s="130"/>
      <c r="U28" s="93"/>
      <c r="V28" s="146"/>
      <c r="W28" s="95"/>
      <c r="X28" s="95"/>
      <c r="Y28" s="95"/>
      <c r="Z28" s="95"/>
      <c r="AA28" s="95"/>
      <c r="AB28" s="95"/>
      <c r="AC28" s="95"/>
      <c r="AD28" s="96"/>
      <c r="AE28" s="127"/>
      <c r="AF28" s="128"/>
      <c r="AG28" s="127"/>
      <c r="AH28" s="127"/>
      <c r="AI28" s="127"/>
      <c r="AJ28" s="128"/>
      <c r="AK28" s="127"/>
    </row>
    <row r="29" spans="1:37" x14ac:dyDescent="0.25">
      <c r="A29" s="94"/>
      <c r="B29" s="95"/>
      <c r="C29" s="95"/>
      <c r="E29" s="95"/>
      <c r="F29" s="95"/>
      <c r="G29" s="95"/>
      <c r="H29" s="96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4"/>
      <c r="X29" s="95"/>
      <c r="Y29" s="95"/>
      <c r="Z29" s="95"/>
      <c r="AA29" s="95"/>
      <c r="AB29" s="95"/>
      <c r="AC29" s="95"/>
      <c r="AD29" s="96"/>
      <c r="AE29" s="97"/>
      <c r="AF29" s="98"/>
      <c r="AG29" s="99"/>
      <c r="AH29" s="99"/>
      <c r="AI29" s="99"/>
      <c r="AJ29" s="98"/>
      <c r="AK29" s="99"/>
    </row>
    <row r="30" spans="1:37" x14ac:dyDescent="0.25">
      <c r="A30" s="66"/>
      <c r="B30" s="66"/>
      <c r="C30" s="66"/>
      <c r="D30" s="92"/>
      <c r="E30" s="92"/>
      <c r="F30" s="92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4"/>
      <c r="X30" s="95"/>
      <c r="Y30" s="95"/>
      <c r="Z30" s="95"/>
      <c r="AA30" s="95"/>
      <c r="AB30" s="95"/>
      <c r="AC30" s="95"/>
      <c r="AD30" s="96"/>
      <c r="AE30" s="97"/>
      <c r="AF30" s="98"/>
      <c r="AG30" s="99"/>
      <c r="AH30" s="99"/>
      <c r="AI30" s="99"/>
      <c r="AJ30" s="98"/>
      <c r="AK30" s="99"/>
    </row>
    <row r="31" spans="1:37" ht="27" thickBot="1" x14ac:dyDescent="0.3">
      <c r="A31" s="10" t="s">
        <v>20</v>
      </c>
      <c r="B31"/>
      <c r="C31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4"/>
      <c r="X31" s="95"/>
      <c r="Y31" s="95"/>
      <c r="Z31" s="95"/>
      <c r="AA31" s="95"/>
      <c r="AB31" s="95"/>
      <c r="AC31" s="95"/>
      <c r="AD31" s="96"/>
      <c r="AE31" s="97"/>
      <c r="AF31" s="98"/>
      <c r="AG31" s="99"/>
      <c r="AH31" s="99"/>
      <c r="AI31" s="99"/>
      <c r="AJ31" s="98"/>
      <c r="AK31" s="99"/>
    </row>
    <row r="32" spans="1:37" ht="15.75" thickBot="1" x14ac:dyDescent="0.3">
      <c r="A32" s="20" t="s">
        <v>1</v>
      </c>
      <c r="B32" s="20" t="s">
        <v>21</v>
      </c>
      <c r="C32" s="20" t="s">
        <v>22</v>
      </c>
      <c r="D32" s="20" t="s">
        <v>23</v>
      </c>
      <c r="E32" s="20" t="s">
        <v>24</v>
      </c>
      <c r="F32" s="20" t="s">
        <v>25</v>
      </c>
      <c r="G32" s="21" t="s">
        <v>26</v>
      </c>
      <c r="R32" s="93"/>
      <c r="T32" s="93"/>
      <c r="U32" s="93"/>
      <c r="V32" s="93"/>
      <c r="W32" s="94"/>
      <c r="X32" s="95"/>
      <c r="Y32" s="95"/>
      <c r="Z32" s="95"/>
      <c r="AA32" s="95"/>
      <c r="AB32" s="95"/>
      <c r="AC32" s="95"/>
      <c r="AD32" s="96"/>
      <c r="AE32" s="97"/>
      <c r="AF32" s="98"/>
      <c r="AG32" s="99"/>
      <c r="AH32" s="99"/>
      <c r="AI32" s="99"/>
      <c r="AJ32" s="98"/>
      <c r="AK32" s="99"/>
    </row>
    <row r="33" spans="1:37" x14ac:dyDescent="0.25">
      <c r="A33" s="77"/>
      <c r="B33" s="77"/>
      <c r="C33" s="77"/>
      <c r="D33" s="77"/>
      <c r="E33" s="77"/>
      <c r="F33" s="77"/>
      <c r="G33" s="78"/>
      <c r="I33" s="143"/>
      <c r="J33" s="143"/>
      <c r="K33" s="143"/>
      <c r="L33" s="143"/>
      <c r="M33" s="143"/>
      <c r="N33" s="143"/>
      <c r="O33" s="143"/>
      <c r="R33" s="93"/>
      <c r="T33" s="93"/>
      <c r="U33" s="93"/>
      <c r="V33" s="93"/>
      <c r="W33" s="94"/>
      <c r="X33" s="95"/>
      <c r="Y33" s="95"/>
      <c r="Z33" s="95"/>
      <c r="AA33" s="95"/>
      <c r="AB33" s="95"/>
      <c r="AC33" s="95"/>
      <c r="AD33" s="96"/>
      <c r="AE33" s="97"/>
      <c r="AF33" s="98"/>
      <c r="AG33" s="99"/>
      <c r="AH33" s="99"/>
      <c r="AI33" s="99"/>
      <c r="AJ33" s="98"/>
      <c r="AK33" s="99"/>
    </row>
    <row r="34" spans="1:37" x14ac:dyDescent="0.25">
      <c r="A34" s="22">
        <v>2010</v>
      </c>
      <c r="B34" s="23"/>
      <c r="C34" s="23"/>
      <c r="D34" s="23"/>
      <c r="E34" s="23"/>
      <c r="F34" s="23"/>
      <c r="G34" s="23"/>
      <c r="I34" s="143"/>
      <c r="J34" s="143"/>
      <c r="K34" s="143"/>
      <c r="L34" s="143"/>
      <c r="M34" s="143"/>
      <c r="N34" s="143"/>
      <c r="O34" s="143"/>
      <c r="R34" s="93"/>
      <c r="T34" s="93"/>
      <c r="U34" s="93"/>
      <c r="V34" s="93"/>
      <c r="W34" s="94"/>
      <c r="X34" s="95"/>
      <c r="Y34" s="95"/>
      <c r="Z34" s="95"/>
      <c r="AA34" s="95"/>
      <c r="AB34" s="95"/>
      <c r="AC34" s="95"/>
      <c r="AD34" s="96"/>
      <c r="AE34" s="97"/>
      <c r="AF34" s="98"/>
      <c r="AG34" s="99"/>
      <c r="AH34" s="99"/>
      <c r="AI34" s="99"/>
      <c r="AJ34" s="98"/>
      <c r="AK34" s="99"/>
    </row>
    <row r="35" spans="1:37" x14ac:dyDescent="0.25">
      <c r="A35" s="22">
        <v>2011</v>
      </c>
      <c r="B35" s="23"/>
      <c r="C35" s="23"/>
      <c r="D35" s="23"/>
      <c r="E35" s="23"/>
      <c r="F35" s="23"/>
      <c r="G35" s="23"/>
      <c r="I35" s="143" t="s">
        <v>27</v>
      </c>
      <c r="J35" s="143"/>
      <c r="K35" s="143"/>
      <c r="L35" s="143"/>
      <c r="M35" s="143"/>
      <c r="N35" s="143"/>
      <c r="O35" s="143"/>
      <c r="R35" s="93"/>
      <c r="T35" s="93"/>
      <c r="U35" s="93"/>
      <c r="V35" s="93"/>
      <c r="W35" s="94"/>
      <c r="X35" s="95"/>
      <c r="Y35" s="95"/>
      <c r="Z35" s="95"/>
      <c r="AA35" s="95"/>
      <c r="AB35" s="95"/>
      <c r="AC35" s="95"/>
      <c r="AD35" s="96"/>
      <c r="AE35" s="97"/>
      <c r="AF35" s="98"/>
      <c r="AG35" s="99"/>
      <c r="AH35" s="99"/>
      <c r="AI35" s="99"/>
      <c r="AJ35" s="98"/>
      <c r="AK35" s="99"/>
    </row>
    <row r="36" spans="1:37" x14ac:dyDescent="0.25">
      <c r="A36" s="22">
        <v>2012</v>
      </c>
      <c r="B36" s="23"/>
      <c r="C36" s="23"/>
      <c r="D36" s="23"/>
      <c r="E36" s="23"/>
      <c r="F36" s="23"/>
      <c r="G36" s="23"/>
      <c r="I36" s="143" t="s">
        <v>28</v>
      </c>
      <c r="J36" s="143"/>
      <c r="K36" s="143"/>
      <c r="L36" s="143"/>
      <c r="M36" s="143"/>
      <c r="N36" s="143"/>
      <c r="O36" s="143"/>
      <c r="R36" s="93"/>
      <c r="T36" s="93"/>
      <c r="U36" s="93"/>
      <c r="V36" s="93"/>
      <c r="W36" s="94"/>
      <c r="X36" s="95"/>
      <c r="Y36" s="95"/>
      <c r="Z36" s="95"/>
      <c r="AA36" s="95"/>
      <c r="AB36" s="95"/>
      <c r="AC36" s="95"/>
      <c r="AD36" s="96"/>
      <c r="AE36" s="97"/>
      <c r="AF36" s="98"/>
      <c r="AG36" s="99"/>
      <c r="AH36" s="99"/>
      <c r="AI36" s="99"/>
      <c r="AJ36" s="98"/>
      <c r="AK36" s="99"/>
    </row>
    <row r="37" spans="1:37" x14ac:dyDescent="0.25">
      <c r="A37" s="22">
        <v>2013</v>
      </c>
      <c r="B37" s="23">
        <f>SIRIS_DATA!B6/D22</f>
        <v>5.0035348975754077E-3</v>
      </c>
      <c r="C37" s="23">
        <f>SIRIS_DATA!B7/G22</f>
        <v>6.526078359109397E-3</v>
      </c>
      <c r="D37" s="23">
        <f>SIRIS_DATA!B8/J22</f>
        <v>2.4401591133927522E-2</v>
      </c>
      <c r="E37" s="23">
        <f>SIRIS_DATA!B9/M22</f>
        <v>4.5200987901007683E-2</v>
      </c>
      <c r="F37" s="23">
        <f>SIRIS_DATA!B10/P22</f>
        <v>5.3297261331015866E-2</v>
      </c>
      <c r="G37" s="23">
        <f>SIRIS_DATA!B11/S22</f>
        <v>1.9193504648644378E-2</v>
      </c>
      <c r="I37" s="143" t="s">
        <v>29</v>
      </c>
      <c r="J37" s="143"/>
      <c r="K37" s="143"/>
      <c r="L37" s="143"/>
      <c r="M37" s="143"/>
      <c r="N37" s="143"/>
      <c r="O37" s="143"/>
      <c r="R37" s="93"/>
      <c r="T37" s="93"/>
      <c r="U37" s="93"/>
      <c r="V37" s="93"/>
      <c r="W37" s="94"/>
      <c r="X37" s="95"/>
      <c r="Y37" s="95"/>
      <c r="Z37" s="95"/>
      <c r="AA37" s="95"/>
      <c r="AB37" s="95"/>
      <c r="AC37" s="95"/>
      <c r="AD37" s="96"/>
      <c r="AE37" s="97"/>
      <c r="AF37" s="98"/>
      <c r="AG37" s="99"/>
      <c r="AH37" s="99"/>
      <c r="AI37" s="99"/>
      <c r="AJ37" s="98"/>
      <c r="AK37" s="99"/>
    </row>
    <row r="38" spans="1:37" x14ac:dyDescent="0.25">
      <c r="A38" s="22">
        <v>2014</v>
      </c>
      <c r="B38" s="23">
        <f>SIRIS_DATA!D6/D23</f>
        <v>5.1891273767217016E-3</v>
      </c>
      <c r="C38" s="23">
        <f>SIRIS_DATA!C7/G23</f>
        <v>6.6022100036820051E-3</v>
      </c>
      <c r="D38" s="23">
        <f>SIRIS_DATA!C8/J23</f>
        <v>2.4455928850629881E-2</v>
      </c>
      <c r="E38" s="23">
        <f>SIRIS_DATA!C9/M23</f>
        <v>4.5176673782260972E-2</v>
      </c>
      <c r="F38" s="23">
        <f>SIRIS_DATA!C10/P23</f>
        <v>5.3732893291973394E-2</v>
      </c>
      <c r="G38" s="23">
        <f>SIRIS_DATA!C11/S23</f>
        <v>1.9077440516448455E-2</v>
      </c>
      <c r="I38" s="143"/>
      <c r="J38" s="143"/>
      <c r="K38" s="143"/>
      <c r="L38" s="143"/>
      <c r="M38" s="143"/>
      <c r="N38" s="143"/>
      <c r="O38" s="143"/>
      <c r="R38" s="93"/>
      <c r="T38" s="93"/>
      <c r="U38" s="93"/>
      <c r="V38" s="93"/>
      <c r="W38" s="94"/>
      <c r="X38" s="95"/>
      <c r="Y38" s="95"/>
      <c r="Z38" s="95"/>
      <c r="AA38" s="95"/>
      <c r="AB38" s="95"/>
      <c r="AC38" s="95"/>
      <c r="AD38" s="96"/>
      <c r="AE38" s="97"/>
      <c r="AF38" s="98"/>
      <c r="AG38" s="99"/>
      <c r="AH38" s="99"/>
      <c r="AI38" s="99"/>
      <c r="AJ38" s="98"/>
      <c r="AK38" s="99"/>
    </row>
    <row r="39" spans="1:37" x14ac:dyDescent="0.25">
      <c r="A39" s="22">
        <v>2015</v>
      </c>
      <c r="B39" s="23">
        <f>SIRIS_DATA!D6/D24</f>
        <v>5.2554662379201162E-3</v>
      </c>
      <c r="C39" s="23">
        <f>SIRIS_DATA!D7/G24</f>
        <v>6.9894552642460238E-3</v>
      </c>
      <c r="D39" s="23">
        <f>SIRIS_DATA!D8/J24</f>
        <v>2.4036259583606563E-2</v>
      </c>
      <c r="E39" s="23">
        <f>SIRIS_DATA!D9/M24</f>
        <v>4.4100861987901946E-2</v>
      </c>
      <c r="F39" s="23">
        <f>SIRIS_DATA!D10/P24</f>
        <v>5.2322200927179083E-2</v>
      </c>
      <c r="G39" s="23">
        <f>SIRIS_DATA!D11/S24</f>
        <v>1.9460657858807729E-2</v>
      </c>
      <c r="I39" s="143" t="s">
        <v>30</v>
      </c>
      <c r="J39" s="143"/>
      <c r="K39" s="143"/>
      <c r="L39" s="143"/>
      <c r="M39" s="143"/>
      <c r="N39" s="143"/>
      <c r="O39" s="143"/>
      <c r="R39" s="93"/>
      <c r="T39" s="93"/>
      <c r="U39" s="93"/>
      <c r="V39" s="93"/>
      <c r="W39" s="94"/>
      <c r="X39" s="95"/>
      <c r="Y39" s="95"/>
      <c r="Z39" s="95"/>
      <c r="AA39" s="95"/>
      <c r="AB39" s="95"/>
      <c r="AC39" s="95"/>
      <c r="AD39" s="96"/>
      <c r="AE39" s="97"/>
      <c r="AF39" s="98"/>
      <c r="AG39" s="99"/>
      <c r="AH39" s="99"/>
      <c r="AI39" s="99"/>
      <c r="AJ39" s="98"/>
      <c r="AK39" s="99"/>
    </row>
    <row r="40" spans="1:37" x14ac:dyDescent="0.25">
      <c r="A40" s="22">
        <v>2016</v>
      </c>
      <c r="B40" s="23">
        <f>SIRIS_DATA!E6/D25</f>
        <v>5.8034264650731852E-3</v>
      </c>
      <c r="C40" s="23">
        <f>SIRIS_DATA!E7/G25</f>
        <v>7.6300657708768694E-3</v>
      </c>
      <c r="D40" s="23">
        <f>SIRIS_DATA!E8/J25</f>
        <v>2.5713019017250836E-2</v>
      </c>
      <c r="E40" s="23">
        <f>SIRIS_DATA!E9/M25</f>
        <v>4.8687693188487501E-2</v>
      </c>
      <c r="F40" s="23">
        <f>SIRIS_DATA!E10/P25</f>
        <v>5.5119498161635069E-2</v>
      </c>
      <c r="G40" s="23">
        <f>SIRIS_DATA!E11/S25</f>
        <v>1.8492150310909592E-2</v>
      </c>
      <c r="I40" s="143" t="s">
        <v>31</v>
      </c>
      <c r="J40" s="143"/>
      <c r="K40" s="143"/>
      <c r="L40" s="143"/>
      <c r="M40" s="143"/>
      <c r="N40" s="143"/>
      <c r="O40" s="143"/>
      <c r="R40" s="93"/>
      <c r="T40" s="93"/>
      <c r="U40" s="93"/>
      <c r="V40" s="93"/>
      <c r="W40" s="94"/>
      <c r="X40" s="95"/>
      <c r="Y40" s="95"/>
      <c r="Z40" s="95"/>
      <c r="AA40" s="95"/>
      <c r="AB40" s="95"/>
      <c r="AC40" s="95"/>
      <c r="AD40" s="96"/>
      <c r="AE40" s="97"/>
      <c r="AF40" s="98"/>
      <c r="AG40" s="99"/>
      <c r="AH40" s="99"/>
      <c r="AI40" s="99"/>
      <c r="AJ40" s="98"/>
      <c r="AK40" s="99"/>
    </row>
    <row r="41" spans="1:37" x14ac:dyDescent="0.25">
      <c r="A41" s="22">
        <v>2017</v>
      </c>
      <c r="B41" s="23">
        <f>SIRIS_DATA!F6/D26</f>
        <v>4.8080421791833602E-3</v>
      </c>
      <c r="C41" s="23">
        <f>SIRIS_DATA!F7/G26</f>
        <v>7.2544869301051015E-3</v>
      </c>
      <c r="D41" s="23">
        <f>SIRIS_DATA!F8/J26</f>
        <v>2.517776578979285E-2</v>
      </c>
      <c r="E41" s="23">
        <f>SIRIS_DATA!F9/M26</f>
        <v>4.8070426846667971E-2</v>
      </c>
      <c r="F41" s="23">
        <f>SIRIS_DATA!F10/P26</f>
        <v>5.2605038163977103E-2</v>
      </c>
      <c r="G41" s="23">
        <f>SIRIS_DATA!F11/S26</f>
        <v>1.8748058959344099E-2</v>
      </c>
      <c r="I41" s="143"/>
      <c r="J41" s="143"/>
      <c r="K41" s="143"/>
      <c r="L41" s="143"/>
      <c r="M41" s="143"/>
      <c r="N41" s="143"/>
      <c r="O41" s="143"/>
      <c r="R41" s="93"/>
      <c r="T41" s="93"/>
      <c r="U41" s="93"/>
      <c r="V41" s="93"/>
      <c r="W41" s="94"/>
      <c r="X41" s="95"/>
      <c r="Y41" s="95"/>
      <c r="Z41" s="95"/>
      <c r="AA41" s="95"/>
      <c r="AB41" s="95"/>
      <c r="AC41" s="95"/>
      <c r="AD41" s="96"/>
      <c r="AE41" s="97"/>
      <c r="AF41" s="98"/>
      <c r="AG41" s="99"/>
      <c r="AH41" s="99"/>
      <c r="AI41" s="99"/>
      <c r="AJ41" s="98"/>
      <c r="AK41" s="99"/>
    </row>
    <row r="42" spans="1:37" x14ac:dyDescent="0.25">
      <c r="A42" s="22">
        <v>2018</v>
      </c>
      <c r="B42" s="23">
        <f>SIRIS_DATA!G6/D27</f>
        <v>4.8959044595735116E-3</v>
      </c>
      <c r="C42" s="23">
        <f>SIRIS_DATA!G7/G27</f>
        <v>7.6087074801862936E-3</v>
      </c>
      <c r="D42" s="23">
        <f>SIRIS_DATA!G8/J27</f>
        <v>2.5629601210370934E-2</v>
      </c>
      <c r="E42" s="23">
        <f>SIRIS_DATA!G9/M27</f>
        <v>4.7015774510476581E-2</v>
      </c>
      <c r="F42" s="23">
        <f>SIRIS_DATA!G10/P27</f>
        <v>5.2837932773741048E-2</v>
      </c>
      <c r="G42" s="23">
        <f>SIRIS_DATA!G11/S27</f>
        <v>2.0390369891716404E-2</v>
      </c>
      <c r="I42" s="143" t="s">
        <v>32</v>
      </c>
      <c r="J42" s="143"/>
      <c r="K42" s="143"/>
      <c r="L42" s="143"/>
      <c r="M42" s="143"/>
      <c r="N42" s="143"/>
      <c r="O42" s="143"/>
      <c r="R42" s="93"/>
      <c r="T42" s="93"/>
      <c r="U42" s="93"/>
      <c r="V42" s="93"/>
      <c r="W42" s="94"/>
      <c r="X42" s="95"/>
      <c r="Y42" s="95"/>
      <c r="Z42" s="95"/>
      <c r="AA42" s="95"/>
      <c r="AB42" s="95"/>
      <c r="AC42" s="95"/>
      <c r="AD42" s="96"/>
      <c r="AE42" s="97"/>
      <c r="AF42" s="98"/>
      <c r="AG42" s="99"/>
      <c r="AH42" s="99"/>
      <c r="AI42" s="99"/>
      <c r="AJ42" s="98"/>
      <c r="AK42" s="99"/>
    </row>
    <row r="43" spans="1:37" x14ac:dyDescent="0.25">
      <c r="A43" s="89">
        <v>2019</v>
      </c>
      <c r="B43" s="141">
        <f>SIRIS_DATA!H6/D28</f>
        <v>4.0856751393296567E-3</v>
      </c>
      <c r="C43" s="142">
        <f>SIRIS_DATA!H7/G28</f>
        <v>7.606647618423331E-3</v>
      </c>
      <c r="D43" s="142">
        <f>SIRIS_DATA!H8/J28</f>
        <v>2.4881722364562618E-2</v>
      </c>
      <c r="E43" s="142">
        <f>SIRIS_DATA!H9/M28</f>
        <v>4.8739343416191877E-2</v>
      </c>
      <c r="F43" s="142">
        <f>SIRIS_DATA!H10/P28</f>
        <v>5.6946166240568932E-2</v>
      </c>
      <c r="G43" s="142">
        <f>SIRIS_DATA!H11/S28</f>
        <v>2.2199667354001008E-2</v>
      </c>
      <c r="I43" s="143"/>
      <c r="J43" s="143"/>
      <c r="K43" s="143"/>
      <c r="L43" s="143"/>
      <c r="M43" s="143"/>
      <c r="N43" s="143"/>
      <c r="O43" s="143"/>
      <c r="R43" s="93"/>
      <c r="T43" s="93"/>
      <c r="U43" s="93"/>
      <c r="V43" s="93"/>
      <c r="W43" s="94"/>
      <c r="X43" s="95"/>
      <c r="Y43" s="95"/>
      <c r="Z43" s="95"/>
      <c r="AA43" s="95"/>
      <c r="AB43" s="95"/>
      <c r="AC43" s="95"/>
      <c r="AD43" s="96"/>
      <c r="AE43" s="97"/>
      <c r="AF43" s="98"/>
      <c r="AG43" s="99"/>
      <c r="AH43" s="99"/>
      <c r="AI43" s="99"/>
      <c r="AJ43" s="98"/>
      <c r="AK43" s="99"/>
    </row>
    <row r="44" spans="1:37" x14ac:dyDescent="0.25">
      <c r="A44" s="66"/>
      <c r="B44" s="66"/>
      <c r="C44" s="66"/>
      <c r="E44" s="93"/>
      <c r="I44" s="143" t="s">
        <v>33</v>
      </c>
      <c r="J44" s="143"/>
      <c r="K44" s="144"/>
      <c r="L44" s="144"/>
      <c r="M44" s="143"/>
      <c r="N44" s="144"/>
      <c r="O44" s="144"/>
      <c r="P44" s="93"/>
      <c r="Q44" s="93"/>
      <c r="R44" s="93"/>
      <c r="S44" s="93"/>
      <c r="T44" s="93"/>
      <c r="U44" s="93"/>
      <c r="V44" s="93"/>
      <c r="W44" s="94"/>
      <c r="X44" s="95"/>
      <c r="Y44" s="95"/>
      <c r="Z44" s="95"/>
      <c r="AA44" s="95"/>
      <c r="AB44" s="95"/>
      <c r="AC44" s="95"/>
      <c r="AD44" s="96"/>
      <c r="AE44" s="97"/>
      <c r="AF44" s="98"/>
      <c r="AG44" s="99"/>
      <c r="AH44" s="99"/>
      <c r="AI44" s="99"/>
      <c r="AJ44" s="98"/>
      <c r="AK44" s="99"/>
    </row>
    <row r="45" spans="1:37" ht="15.75" thickBot="1" x14ac:dyDescent="0.3">
      <c r="I45" s="143" t="s">
        <v>34</v>
      </c>
      <c r="J45" s="143"/>
      <c r="K45" s="143"/>
      <c r="L45" s="143"/>
      <c r="M45" s="143"/>
      <c r="N45" s="143"/>
      <c r="O45" s="143"/>
    </row>
    <row r="46" spans="1:37" ht="15.75" thickBot="1" x14ac:dyDescent="0.3">
      <c r="B46" s="28" t="s">
        <v>35</v>
      </c>
      <c r="C46" s="29"/>
      <c r="D46" s="29"/>
      <c r="E46" s="30"/>
      <c r="F46" s="65"/>
      <c r="G46" s="3"/>
      <c r="I46" s="143" t="s">
        <v>36</v>
      </c>
      <c r="J46" s="143"/>
      <c r="K46" s="143"/>
      <c r="L46" s="143"/>
      <c r="M46" s="143"/>
      <c r="N46" s="143"/>
      <c r="O46" s="143"/>
    </row>
    <row r="47" spans="1:37" x14ac:dyDescent="0.25">
      <c r="B47" s="68" t="s">
        <v>37</v>
      </c>
      <c r="C47" s="69" t="s">
        <v>38</v>
      </c>
      <c r="D47" s="69" t="s">
        <v>39</v>
      </c>
      <c r="E47" s="70" t="s">
        <v>40</v>
      </c>
      <c r="F47" s="15"/>
      <c r="G47" s="73"/>
      <c r="I47" s="143"/>
      <c r="J47" s="143"/>
      <c r="K47" s="143"/>
      <c r="L47" s="143"/>
      <c r="M47" s="143"/>
      <c r="N47" s="143"/>
      <c r="O47" s="143"/>
    </row>
    <row r="48" spans="1:37" x14ac:dyDescent="0.25">
      <c r="B48" s="67" t="s">
        <v>41</v>
      </c>
      <c r="C48" s="59">
        <f>PREV_KOA_females!E4</f>
        <v>3.2000000000000001E-2</v>
      </c>
      <c r="D48" s="59">
        <f>PREV_KOA_males!E4</f>
        <v>1.9266666666666668E-2</v>
      </c>
      <c r="E48" s="60">
        <f t="shared" ref="E48:E53" si="25">(C48+D48)/2</f>
        <v>2.5633333333333334E-2</v>
      </c>
      <c r="F48" s="14"/>
      <c r="G48" s="62"/>
      <c r="I48" s="143" t="s">
        <v>42</v>
      </c>
      <c r="J48" s="143"/>
      <c r="K48" s="143"/>
      <c r="L48" s="143"/>
      <c r="M48" s="143"/>
      <c r="N48" s="143"/>
      <c r="O48" s="143"/>
    </row>
    <row r="49" spans="2:25" x14ac:dyDescent="0.25">
      <c r="B49" s="67" t="s">
        <v>43</v>
      </c>
      <c r="C49" s="59">
        <f>PREV_KOA_females!E5</f>
        <v>0.12</v>
      </c>
      <c r="D49" s="59">
        <f>PREV_KOA_males!E5</f>
        <v>7.0899999999999991E-2</v>
      </c>
      <c r="E49" s="60">
        <f t="shared" si="25"/>
        <v>9.5449999999999993E-2</v>
      </c>
      <c r="F49" s="14"/>
      <c r="G49" s="62"/>
      <c r="I49" s="143"/>
      <c r="J49" s="143"/>
      <c r="K49" s="143"/>
      <c r="L49" s="143"/>
      <c r="M49" s="143"/>
      <c r="N49" s="143"/>
      <c r="O49" s="143"/>
    </row>
    <row r="50" spans="2:25" x14ac:dyDescent="0.25">
      <c r="B50" s="67" t="s">
        <v>44</v>
      </c>
      <c r="C50" s="59">
        <f>PREV_KOA_females!E6</f>
        <v>0.1575</v>
      </c>
      <c r="D50" s="59">
        <f>PREV_KOA_males!E6</f>
        <v>9.2699999999999977E-2</v>
      </c>
      <c r="E50" s="60">
        <f t="shared" si="25"/>
        <v>0.12509999999999999</v>
      </c>
      <c r="F50" s="14"/>
      <c r="G50" s="62"/>
      <c r="I50" s="143"/>
      <c r="J50" s="143"/>
      <c r="K50" s="143"/>
      <c r="L50" s="143"/>
      <c r="M50" s="143"/>
      <c r="N50" s="143"/>
      <c r="O50" s="143"/>
    </row>
    <row r="51" spans="2:25" x14ac:dyDescent="0.25">
      <c r="B51" s="67" t="s">
        <v>45</v>
      </c>
      <c r="C51" s="59">
        <f>PREV_KOA_females!E7</f>
        <v>0.1709</v>
      </c>
      <c r="D51" s="59">
        <f>PREV_KOA_males!E7</f>
        <v>0.10029999999999999</v>
      </c>
      <c r="E51" s="60">
        <f t="shared" si="25"/>
        <v>0.1356</v>
      </c>
      <c r="F51" s="14"/>
      <c r="G51" s="62"/>
      <c r="I51" s="143"/>
      <c r="J51" s="143"/>
      <c r="K51" s="143"/>
      <c r="L51" s="143"/>
      <c r="M51" s="143"/>
      <c r="N51" s="143"/>
      <c r="O51" s="143"/>
    </row>
    <row r="52" spans="2:25" x14ac:dyDescent="0.25">
      <c r="B52" s="67" t="s">
        <v>46</v>
      </c>
      <c r="C52" s="59">
        <f>PREV_KOA_females!E8</f>
        <v>0.1772</v>
      </c>
      <c r="D52" s="59">
        <f>PREV_KOA_males!E8</f>
        <v>0.10429999999999999</v>
      </c>
      <c r="E52" s="60">
        <f t="shared" si="25"/>
        <v>0.14074999999999999</v>
      </c>
      <c r="F52" s="14"/>
      <c r="G52" s="62"/>
      <c r="I52" s="143"/>
      <c r="J52" s="143"/>
      <c r="K52" s="143"/>
      <c r="L52" s="143"/>
      <c r="M52" s="143"/>
      <c r="N52" s="143"/>
      <c r="O52" s="143"/>
    </row>
    <row r="53" spans="2:25" x14ac:dyDescent="0.25">
      <c r="B53" s="67" t="s">
        <v>47</v>
      </c>
      <c r="C53" s="59">
        <f>PREV_KOA_females!E9</f>
        <v>0.17919999999999997</v>
      </c>
      <c r="D53" s="59">
        <f>PREV_KOA_males!E9</f>
        <v>0.10640000000000002</v>
      </c>
      <c r="E53" s="60">
        <f t="shared" si="25"/>
        <v>0.14279999999999998</v>
      </c>
      <c r="F53" s="14"/>
      <c r="G53" s="62"/>
      <c r="I53" s="143"/>
      <c r="J53" s="143"/>
      <c r="K53" s="143"/>
      <c r="L53" s="143"/>
      <c r="M53" s="143"/>
      <c r="N53" s="143"/>
      <c r="O53" s="143"/>
      <c r="Y53" s="72"/>
    </row>
    <row r="54" spans="2:25" x14ac:dyDescent="0.25">
      <c r="B54" s="61"/>
      <c r="C54" s="14"/>
      <c r="D54" s="14"/>
      <c r="E54" s="14"/>
      <c r="F54" s="14"/>
      <c r="G54" s="62"/>
      <c r="I54" s="143"/>
      <c r="J54" s="143"/>
      <c r="K54" s="143"/>
      <c r="L54" s="143"/>
      <c r="M54" s="143"/>
      <c r="N54" s="143"/>
      <c r="O54" s="143"/>
    </row>
    <row r="55" spans="2:25" x14ac:dyDescent="0.25">
      <c r="B55" s="61"/>
      <c r="C55" s="14"/>
      <c r="D55" s="14"/>
      <c r="E55" s="14"/>
      <c r="F55" s="14"/>
      <c r="G55" s="62"/>
      <c r="I55" s="143"/>
      <c r="J55" s="143"/>
      <c r="K55" s="143"/>
      <c r="L55" s="143"/>
      <c r="M55" s="143"/>
      <c r="N55" s="143"/>
      <c r="O55" s="143"/>
    </row>
    <row r="56" spans="2:25" x14ac:dyDescent="0.25">
      <c r="B56" s="74" t="s">
        <v>48</v>
      </c>
      <c r="C56" s="14"/>
      <c r="D56" s="14"/>
      <c r="E56" s="14"/>
      <c r="F56" s="14"/>
      <c r="G56" s="62"/>
      <c r="I56" s="143"/>
      <c r="J56" s="143"/>
      <c r="K56" s="143"/>
      <c r="L56" s="143"/>
      <c r="M56" s="143"/>
      <c r="N56" s="143"/>
      <c r="O56" s="143"/>
    </row>
    <row r="57" spans="2:25" x14ac:dyDescent="0.25">
      <c r="B57" s="61"/>
      <c r="C57" s="14"/>
      <c r="D57" s="14"/>
      <c r="E57" s="14"/>
      <c r="F57" s="14"/>
      <c r="G57" s="62"/>
    </row>
    <row r="58" spans="2:25" x14ac:dyDescent="0.25">
      <c r="B58" s="61"/>
      <c r="C58" s="14"/>
      <c r="D58" s="14"/>
      <c r="E58" s="14"/>
      <c r="F58" s="14"/>
      <c r="G58" s="62"/>
    </row>
    <row r="59" spans="2:25" ht="15.75" thickBot="1" x14ac:dyDescent="0.3">
      <c r="B59" s="63"/>
      <c r="C59" s="18"/>
      <c r="D59" s="18"/>
      <c r="E59" s="18"/>
      <c r="F59" s="18"/>
      <c r="G59" s="64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CALC!T4:T4</xm:f>
              <xm:sqref>A4</xm:sqref>
            </x14:sparkline>
            <x14:sparkline>
              <xm:f>CALC!W4:W4</xm:f>
              <xm:sqref>B4</xm:sqref>
            </x14:sparkline>
            <x14:sparkline>
              <xm:f>CALC!X4:X4</xm:f>
              <xm:sqref>C4</xm:sqref>
            </x14:sparkline>
            <x14:sparkline>
              <xm:f>CALC!T5:T5</xm:f>
              <xm:sqref>A5</xm:sqref>
            </x14:sparkline>
            <x14:sparkline>
              <xm:f>CALC!T6:T6</xm:f>
              <xm:sqref>A6</xm:sqref>
            </x14:sparkline>
            <x14:sparkline>
              <xm:f>CALC!T7:T7</xm:f>
              <xm:sqref>A7</xm:sqref>
            </x14:sparkline>
            <x14:sparkline>
              <xm:f>CALC!T8:T8</xm:f>
              <xm:sqref>A8</xm:sqref>
            </x14:sparkline>
            <x14:sparkline>
              <xm:f>CALC!T9:T9</xm:f>
              <xm:sqref>A9</xm:sqref>
            </x14:sparkline>
            <x14:sparkline>
              <xm:f>CALC!T10:T10</xm:f>
              <xm:sqref>A10</xm:sqref>
            </x14:sparkline>
            <x14:sparkline>
              <xm:f>CALC!T11:T11</xm:f>
              <xm:sqref>A11</xm:sqref>
            </x14:sparkline>
            <x14:sparkline>
              <xm:f>CALC!T12:T12</xm:f>
              <xm:sqref>A12</xm:sqref>
            </x14:sparkline>
            <x14:sparkline>
              <xm:f>CALC!T13:T13</xm:f>
              <xm:sqref>A13</xm:sqref>
            </x14:sparkline>
            <x14:sparkline>
              <xm:f>CALC!V14:V14</xm:f>
              <xm:sqref>A14</xm:sqref>
            </x14:sparkline>
            <x14:sparkline>
              <xm:f>CALC!W14:W14</xm:f>
              <xm:sqref>B14</xm:sqref>
            </x14:sparkline>
            <x14:sparkline>
              <xm:f>CALC!V15:V15</xm:f>
              <xm:sqref>A15</xm:sqref>
            </x14:sparkline>
            <x14:sparkline>
              <xm:f>CALC!W15:W15</xm:f>
              <xm:sqref>B15</xm:sqref>
            </x14:sparkline>
            <x14:sparkline>
              <xm:f>CALC!X15:X15</xm:f>
              <xm:sqref>C15</xm:sqref>
            </x14:sparkline>
            <x14:sparkline>
              <xm:f>CALC!V30:V30</xm:f>
              <xm:sqref>A30</xm:sqref>
            </x14:sparkline>
            <x14:sparkline>
              <xm:f>CALC!W30:W30</xm:f>
              <xm:sqref>B30</xm:sqref>
            </x14:sparkline>
            <x14:sparkline>
              <xm:f>CALC!V44:V44</xm:f>
              <xm:sqref>A44</xm:sqref>
            </x14:sparkline>
            <x14:sparkline>
              <xm:f>CALC!W44:W44</xm:f>
              <xm:sqref>B44</xm:sqref>
            </x14:sparkline>
            <x14:sparkline>
              <xm:f>CALC!X44:X44</xm:f>
              <xm:sqref>C44</xm:sqref>
            </x14:sparkline>
            <x14:sparkline>
              <xm:f>CALC!W5:W5</xm:f>
              <xm:sqref>B5</xm:sqref>
            </x14:sparkline>
            <x14:sparkline>
              <xm:f>CALC!W6:W6</xm:f>
              <xm:sqref>B6</xm:sqref>
            </x14:sparkline>
            <x14:sparkline>
              <xm:f>CALC!W7:W7</xm:f>
              <xm:sqref>B7</xm:sqref>
            </x14:sparkline>
            <x14:sparkline>
              <xm:f>CALC!W8:W8</xm:f>
              <xm:sqref>B8</xm:sqref>
            </x14:sparkline>
            <x14:sparkline>
              <xm:f>CALC!W9:W9</xm:f>
              <xm:sqref>B9</xm:sqref>
            </x14:sparkline>
            <x14:sparkline>
              <xm:f>CALC!W10:W10</xm:f>
              <xm:sqref>B10</xm:sqref>
            </x14:sparkline>
            <x14:sparkline>
              <xm:f>CALC!W11:W11</xm:f>
              <xm:sqref>B11</xm:sqref>
            </x14:sparkline>
            <x14:sparkline>
              <xm:f>CALC!W12:W12</xm:f>
              <xm:sqref>B12</xm:sqref>
            </x14:sparkline>
            <x14:sparkline>
              <xm:f>CALC!W13:W13</xm:f>
              <xm:sqref>B13</xm:sqref>
            </x14:sparkline>
            <x14:sparkline>
              <xm:f>CALC!X5:X5</xm:f>
              <xm:sqref>C5</xm:sqref>
            </x14:sparkline>
            <x14:sparkline>
              <xm:f>CALC!X6:X6</xm:f>
              <xm:sqref>C6</xm:sqref>
            </x14:sparkline>
            <x14:sparkline>
              <xm:f>CALC!X7:X7</xm:f>
              <xm:sqref>C7</xm:sqref>
            </x14:sparkline>
            <x14:sparkline>
              <xm:f>CALC!X8:X8</xm:f>
              <xm:sqref>C8</xm:sqref>
            </x14:sparkline>
            <x14:sparkline>
              <xm:f>CALC!X9:X9</xm:f>
              <xm:sqref>C9</xm:sqref>
            </x14:sparkline>
            <x14:sparkline>
              <xm:f>CALC!X10:X10</xm:f>
              <xm:sqref>C10</xm:sqref>
            </x14:sparkline>
            <x14:sparkline>
              <xm:f>CALC!X11:X11</xm:f>
              <xm:sqref>C11</xm:sqref>
            </x14:sparkline>
            <x14:sparkline>
              <xm:f>CALC!X12:X12</xm:f>
              <xm:sqref>C12</xm:sqref>
            </x14:sparkline>
            <x14:sparkline>
              <xm:f>CALC!X13:X13</xm:f>
              <xm:sqref>C13</xm:sqref>
            </x14:sparkline>
            <x14:sparkline>
              <xm:f>CALC!X14:X14</xm:f>
              <xm:sqref>C14</xm:sqref>
            </x14:sparkline>
            <x14:sparkline>
              <xm:f>CALC!X30:X30</xm:f>
              <xm:sqref>C30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V56"/>
  <sheetViews>
    <sheetView zoomScaleNormal="100" workbookViewId="0">
      <selection activeCell="H14" sqref="H14"/>
    </sheetView>
  </sheetViews>
  <sheetFormatPr baseColWidth="10" defaultColWidth="9.140625" defaultRowHeight="15" x14ac:dyDescent="0.25"/>
  <cols>
    <col min="6" max="6" width="12.7109375" customWidth="1"/>
    <col min="7" max="7" width="11.42578125" customWidth="1"/>
    <col min="8" max="8" width="11.28515625" customWidth="1"/>
    <col min="9" max="11" width="15.42578125" customWidth="1"/>
    <col min="12" max="12" width="20.28515625" customWidth="1"/>
    <col min="13" max="20" width="15.42578125" customWidth="1"/>
    <col min="21" max="21" width="8.85546875" customWidth="1"/>
    <col min="22" max="22" width="17.140625" customWidth="1"/>
  </cols>
  <sheetData>
    <row r="1" spans="1:74" ht="42.75" customHeight="1" x14ac:dyDescent="0.35">
      <c r="A1" s="145" t="s">
        <v>49</v>
      </c>
    </row>
    <row r="2" spans="1:74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74" x14ac:dyDescent="0.25">
      <c r="D3" t="s">
        <v>50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56</v>
      </c>
      <c r="K3" s="72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63</v>
      </c>
      <c r="R3" t="s">
        <v>64</v>
      </c>
      <c r="S3" t="s">
        <v>65</v>
      </c>
      <c r="T3" t="s">
        <v>66</v>
      </c>
      <c r="U3" t="s">
        <v>67</v>
      </c>
      <c r="V3" t="s">
        <v>68</v>
      </c>
      <c r="W3" t="s">
        <v>69</v>
      </c>
      <c r="X3" t="s">
        <v>70</v>
      </c>
      <c r="Y3" t="s">
        <v>71</v>
      </c>
      <c r="Z3" t="s">
        <v>72</v>
      </c>
      <c r="AA3" t="s">
        <v>73</v>
      </c>
      <c r="AB3" t="s">
        <v>74</v>
      </c>
      <c r="AC3" t="s">
        <v>75</v>
      </c>
      <c r="AD3" t="s">
        <v>76</v>
      </c>
      <c r="AE3" t="s">
        <v>77</v>
      </c>
      <c r="AF3" t="s">
        <v>78</v>
      </c>
      <c r="AG3" t="s">
        <v>79</v>
      </c>
      <c r="AH3" t="s">
        <v>80</v>
      </c>
      <c r="AI3" t="s">
        <v>81</v>
      </c>
      <c r="AJ3" t="s">
        <v>82</v>
      </c>
      <c r="AK3" t="s">
        <v>83</v>
      </c>
      <c r="AL3" t="s">
        <v>84</v>
      </c>
      <c r="AM3" t="s">
        <v>85</v>
      </c>
      <c r="AN3" s="71" t="s">
        <v>86</v>
      </c>
      <c r="AO3" t="s">
        <v>87</v>
      </c>
      <c r="AP3" t="s">
        <v>88</v>
      </c>
      <c r="AQ3" t="s">
        <v>89</v>
      </c>
      <c r="AR3" t="s">
        <v>90</v>
      </c>
      <c r="AS3" t="s">
        <v>91</v>
      </c>
      <c r="AT3" t="s">
        <v>92</v>
      </c>
      <c r="AU3" t="s">
        <v>93</v>
      </c>
      <c r="AV3" t="s">
        <v>94</v>
      </c>
      <c r="AW3" t="s">
        <v>95</v>
      </c>
      <c r="AX3" t="s">
        <v>96</v>
      </c>
      <c r="AY3" t="s">
        <v>97</v>
      </c>
      <c r="AZ3" t="s">
        <v>98</v>
      </c>
      <c r="BA3" t="s">
        <v>99</v>
      </c>
      <c r="BB3" t="s">
        <v>100</v>
      </c>
      <c r="BC3" t="s">
        <v>101</v>
      </c>
      <c r="BD3" t="s">
        <v>102</v>
      </c>
      <c r="BE3" t="s">
        <v>103</v>
      </c>
      <c r="BF3" t="s">
        <v>104</v>
      </c>
      <c r="BG3" t="s">
        <v>105</v>
      </c>
      <c r="BH3" t="s">
        <v>106</v>
      </c>
      <c r="BI3" t="s">
        <v>107</v>
      </c>
      <c r="BJ3" t="s">
        <v>108</v>
      </c>
      <c r="BK3" t="s">
        <v>109</v>
      </c>
      <c r="BL3" t="s">
        <v>110</v>
      </c>
      <c r="BM3" t="s">
        <v>111</v>
      </c>
      <c r="BN3" t="s">
        <v>112</v>
      </c>
      <c r="BO3" t="s">
        <v>113</v>
      </c>
      <c r="BP3" t="s">
        <v>114</v>
      </c>
      <c r="BQ3" t="s">
        <v>115</v>
      </c>
      <c r="BR3" t="s">
        <v>116</v>
      </c>
      <c r="BS3" t="s">
        <v>117</v>
      </c>
      <c r="BT3" t="s">
        <v>118</v>
      </c>
      <c r="BU3" t="s">
        <v>119</v>
      </c>
      <c r="BV3" t="s">
        <v>120</v>
      </c>
    </row>
    <row r="4" spans="1:74" x14ac:dyDescent="0.25">
      <c r="A4" s="66">
        <v>2010</v>
      </c>
      <c r="B4" s="2" t="s">
        <v>8</v>
      </c>
      <c r="D4">
        <v>109133</v>
      </c>
      <c r="E4">
        <v>106914</v>
      </c>
      <c r="F4">
        <v>105935</v>
      </c>
      <c r="G4">
        <v>106529</v>
      </c>
      <c r="H4">
        <v>106297</v>
      </c>
      <c r="I4">
        <v>106318</v>
      </c>
      <c r="J4">
        <v>109432</v>
      </c>
      <c r="K4" s="72">
        <v>110393</v>
      </c>
      <c r="L4">
        <v>114281</v>
      </c>
      <c r="M4">
        <v>118495</v>
      </c>
      <c r="N4">
        <v>120508</v>
      </c>
      <c r="O4">
        <v>124323</v>
      </c>
      <c r="P4">
        <v>127707</v>
      </c>
      <c r="Q4">
        <v>129092</v>
      </c>
      <c r="R4">
        <v>132442</v>
      </c>
      <c r="S4">
        <v>133287</v>
      </c>
      <c r="T4">
        <v>135525</v>
      </c>
      <c r="U4">
        <v>131885</v>
      </c>
      <c r="V4">
        <v>127131</v>
      </c>
      <c r="W4">
        <v>123087</v>
      </c>
      <c r="X4">
        <v>120047</v>
      </c>
      <c r="Y4">
        <v>116665</v>
      </c>
      <c r="Z4">
        <v>112578</v>
      </c>
      <c r="AA4">
        <v>109975</v>
      </c>
      <c r="AB4">
        <v>107046</v>
      </c>
      <c r="AC4">
        <v>102808</v>
      </c>
      <c r="AD4">
        <v>99816</v>
      </c>
      <c r="AE4">
        <v>96471</v>
      </c>
      <c r="AF4">
        <v>95807</v>
      </c>
      <c r="AG4">
        <v>91934</v>
      </c>
      <c r="AH4">
        <v>93965</v>
      </c>
      <c r="AI4">
        <v>92113</v>
      </c>
      <c r="AJ4">
        <v>92851</v>
      </c>
      <c r="AK4">
        <v>90879</v>
      </c>
      <c r="AL4">
        <v>90003</v>
      </c>
      <c r="AM4">
        <v>85562</v>
      </c>
      <c r="AN4">
        <v>83772</v>
      </c>
      <c r="AO4">
        <v>80459</v>
      </c>
      <c r="AP4">
        <v>76417</v>
      </c>
      <c r="AQ4">
        <v>71032</v>
      </c>
      <c r="AR4">
        <v>65110</v>
      </c>
      <c r="AS4">
        <v>63071</v>
      </c>
      <c r="AT4">
        <v>60596</v>
      </c>
      <c r="AU4">
        <v>57563</v>
      </c>
      <c r="AV4">
        <v>57108</v>
      </c>
      <c r="AW4">
        <v>55831</v>
      </c>
      <c r="AX4">
        <v>53666</v>
      </c>
      <c r="AY4">
        <v>50741</v>
      </c>
      <c r="AZ4">
        <v>49211</v>
      </c>
      <c r="BA4">
        <v>46609</v>
      </c>
      <c r="BB4">
        <v>45134</v>
      </c>
      <c r="BC4">
        <v>41698</v>
      </c>
      <c r="BD4">
        <v>38773</v>
      </c>
      <c r="BE4">
        <v>35442</v>
      </c>
      <c r="BF4">
        <v>33332</v>
      </c>
      <c r="BG4">
        <v>30419</v>
      </c>
      <c r="BH4">
        <v>27111</v>
      </c>
      <c r="BI4">
        <v>24018</v>
      </c>
      <c r="BJ4">
        <v>20733</v>
      </c>
      <c r="BK4">
        <v>18441</v>
      </c>
      <c r="BL4">
        <v>15045</v>
      </c>
      <c r="BM4">
        <v>10569</v>
      </c>
      <c r="BN4">
        <v>8089</v>
      </c>
      <c r="BO4">
        <v>6540</v>
      </c>
      <c r="BP4">
        <v>5002</v>
      </c>
      <c r="BQ4">
        <v>3765</v>
      </c>
      <c r="BR4">
        <v>3071</v>
      </c>
      <c r="BS4">
        <v>2114</v>
      </c>
      <c r="BT4">
        <v>1413</v>
      </c>
      <c r="BU4">
        <v>905</v>
      </c>
      <c r="BV4">
        <v>1332</v>
      </c>
    </row>
    <row r="5" spans="1:74" x14ac:dyDescent="0.25">
      <c r="A5" s="66">
        <v>2011</v>
      </c>
      <c r="B5" s="2" t="s">
        <v>8</v>
      </c>
      <c r="D5">
        <v>110176</v>
      </c>
      <c r="E5">
        <v>111458</v>
      </c>
      <c r="F5">
        <v>108965</v>
      </c>
      <c r="G5">
        <v>107893</v>
      </c>
      <c r="H5">
        <v>108326</v>
      </c>
      <c r="I5">
        <v>107982</v>
      </c>
      <c r="J5">
        <v>107898</v>
      </c>
      <c r="K5" s="72">
        <v>110965</v>
      </c>
      <c r="L5">
        <v>111639</v>
      </c>
      <c r="M5">
        <v>115406</v>
      </c>
      <c r="N5">
        <v>119642</v>
      </c>
      <c r="O5">
        <v>121658</v>
      </c>
      <c r="P5">
        <v>125215</v>
      </c>
      <c r="Q5">
        <v>128544</v>
      </c>
      <c r="R5">
        <v>129881</v>
      </c>
      <c r="S5">
        <v>133048</v>
      </c>
      <c r="T5">
        <v>133821</v>
      </c>
      <c r="U5">
        <v>135997</v>
      </c>
      <c r="V5">
        <v>132256</v>
      </c>
      <c r="W5">
        <v>127385</v>
      </c>
      <c r="X5">
        <v>123289</v>
      </c>
      <c r="Y5">
        <v>120147</v>
      </c>
      <c r="Z5">
        <v>116703</v>
      </c>
      <c r="AA5">
        <v>112449</v>
      </c>
      <c r="AB5">
        <v>109769</v>
      </c>
      <c r="AC5">
        <v>106680</v>
      </c>
      <c r="AD5">
        <v>102454</v>
      </c>
      <c r="AE5">
        <v>99391</v>
      </c>
      <c r="AF5">
        <v>95934</v>
      </c>
      <c r="AG5">
        <v>95237</v>
      </c>
      <c r="AH5">
        <v>91100</v>
      </c>
      <c r="AI5">
        <v>93158</v>
      </c>
      <c r="AJ5">
        <v>91252</v>
      </c>
      <c r="AK5">
        <v>91965</v>
      </c>
      <c r="AL5">
        <v>89878</v>
      </c>
      <c r="AM5">
        <v>88767</v>
      </c>
      <c r="AN5">
        <v>84466</v>
      </c>
      <c r="AO5">
        <v>82815</v>
      </c>
      <c r="AP5">
        <v>79492</v>
      </c>
      <c r="AQ5">
        <v>75469</v>
      </c>
      <c r="AR5">
        <v>70109</v>
      </c>
      <c r="AS5">
        <v>64165</v>
      </c>
      <c r="AT5">
        <v>62137</v>
      </c>
      <c r="AU5">
        <v>59563</v>
      </c>
      <c r="AV5">
        <v>56476</v>
      </c>
      <c r="AW5">
        <v>55882</v>
      </c>
      <c r="AX5">
        <v>54492</v>
      </c>
      <c r="AY5">
        <v>52205</v>
      </c>
      <c r="AZ5">
        <v>49266</v>
      </c>
      <c r="BA5">
        <v>47562</v>
      </c>
      <c r="BB5">
        <v>44801</v>
      </c>
      <c r="BC5">
        <v>43201</v>
      </c>
      <c r="BD5">
        <v>39678</v>
      </c>
      <c r="BE5">
        <v>36563</v>
      </c>
      <c r="BF5">
        <v>33241</v>
      </c>
      <c r="BG5">
        <v>30858</v>
      </c>
      <c r="BH5">
        <v>27883</v>
      </c>
      <c r="BI5">
        <v>24525</v>
      </c>
      <c r="BJ5">
        <v>21432</v>
      </c>
      <c r="BK5">
        <v>18326</v>
      </c>
      <c r="BL5">
        <v>15892</v>
      </c>
      <c r="BM5">
        <v>12673</v>
      </c>
      <c r="BN5">
        <v>8782</v>
      </c>
      <c r="BO5">
        <v>6541</v>
      </c>
      <c r="BP5">
        <v>5170</v>
      </c>
      <c r="BQ5">
        <v>3881</v>
      </c>
      <c r="BR5">
        <v>2803</v>
      </c>
      <c r="BS5">
        <v>2219</v>
      </c>
      <c r="BT5">
        <v>1484</v>
      </c>
      <c r="BU5">
        <v>932</v>
      </c>
      <c r="BV5">
        <v>1401</v>
      </c>
    </row>
    <row r="6" spans="1:74" x14ac:dyDescent="0.25">
      <c r="A6" s="66">
        <v>2012</v>
      </c>
      <c r="B6" s="2" t="s">
        <v>8</v>
      </c>
      <c r="D6">
        <v>112363</v>
      </c>
      <c r="E6">
        <v>112525</v>
      </c>
      <c r="F6">
        <v>113602</v>
      </c>
      <c r="G6">
        <v>110891</v>
      </c>
      <c r="H6">
        <v>109780</v>
      </c>
      <c r="I6">
        <v>110002</v>
      </c>
      <c r="J6">
        <v>109624</v>
      </c>
      <c r="K6" s="72">
        <v>109325</v>
      </c>
      <c r="L6">
        <v>112234</v>
      </c>
      <c r="M6">
        <v>112901</v>
      </c>
      <c r="N6">
        <v>116465</v>
      </c>
      <c r="O6">
        <v>120731</v>
      </c>
      <c r="P6">
        <v>122677</v>
      </c>
      <c r="Q6">
        <v>126236</v>
      </c>
      <c r="R6">
        <v>129382</v>
      </c>
      <c r="S6">
        <v>130637</v>
      </c>
      <c r="T6">
        <v>133681</v>
      </c>
      <c r="U6">
        <v>134307</v>
      </c>
      <c r="V6">
        <v>136470</v>
      </c>
      <c r="W6">
        <v>132614</v>
      </c>
      <c r="X6">
        <v>127630</v>
      </c>
      <c r="Y6">
        <v>123354</v>
      </c>
      <c r="Z6">
        <v>120128</v>
      </c>
      <c r="AA6">
        <v>116616</v>
      </c>
      <c r="AB6">
        <v>112270</v>
      </c>
      <c r="AC6">
        <v>109541</v>
      </c>
      <c r="AD6">
        <v>106284</v>
      </c>
      <c r="AE6">
        <v>102053</v>
      </c>
      <c r="AF6">
        <v>98813</v>
      </c>
      <c r="AG6">
        <v>95429</v>
      </c>
      <c r="AH6">
        <v>94346</v>
      </c>
      <c r="AI6">
        <v>90368</v>
      </c>
      <c r="AJ6">
        <v>92331</v>
      </c>
      <c r="AK6">
        <v>90285</v>
      </c>
      <c r="AL6">
        <v>90894</v>
      </c>
      <c r="AM6">
        <v>88611</v>
      </c>
      <c r="AN6">
        <v>87718</v>
      </c>
      <c r="AO6">
        <v>83488</v>
      </c>
      <c r="AP6">
        <v>81881</v>
      </c>
      <c r="AQ6">
        <v>78467</v>
      </c>
      <c r="AR6">
        <v>74421</v>
      </c>
      <c r="AS6">
        <v>69140</v>
      </c>
      <c r="AT6">
        <v>63236</v>
      </c>
      <c r="AU6">
        <v>61088</v>
      </c>
      <c r="AV6">
        <v>58471</v>
      </c>
      <c r="AW6">
        <v>55399</v>
      </c>
      <c r="AX6">
        <v>54606</v>
      </c>
      <c r="AY6">
        <v>53102</v>
      </c>
      <c r="AZ6">
        <v>50688</v>
      </c>
      <c r="BA6">
        <v>47639</v>
      </c>
      <c r="BB6">
        <v>45802</v>
      </c>
      <c r="BC6">
        <v>42904</v>
      </c>
      <c r="BD6">
        <v>41091</v>
      </c>
      <c r="BE6">
        <v>37419</v>
      </c>
      <c r="BF6">
        <v>34228</v>
      </c>
      <c r="BG6">
        <v>30813</v>
      </c>
      <c r="BH6">
        <v>28261</v>
      </c>
      <c r="BI6">
        <v>25201</v>
      </c>
      <c r="BJ6">
        <v>21912</v>
      </c>
      <c r="BK6">
        <v>18815</v>
      </c>
      <c r="BL6">
        <v>15717</v>
      </c>
      <c r="BM6">
        <v>13411</v>
      </c>
      <c r="BN6">
        <v>10399</v>
      </c>
      <c r="BO6">
        <v>7026</v>
      </c>
      <c r="BP6">
        <v>5125</v>
      </c>
      <c r="BQ6">
        <v>3891</v>
      </c>
      <c r="BR6">
        <v>2825</v>
      </c>
      <c r="BS6">
        <v>1962</v>
      </c>
      <c r="BT6">
        <v>1500</v>
      </c>
      <c r="BU6">
        <v>952</v>
      </c>
      <c r="BV6">
        <v>1409</v>
      </c>
    </row>
    <row r="7" spans="1:74" x14ac:dyDescent="0.25">
      <c r="A7" s="66">
        <v>2013</v>
      </c>
      <c r="B7" s="101" t="s">
        <v>8</v>
      </c>
      <c r="D7" s="75">
        <v>112042</v>
      </c>
      <c r="E7" s="75">
        <v>115092</v>
      </c>
      <c r="F7" s="75">
        <v>114941</v>
      </c>
      <c r="G7" s="75">
        <v>115860</v>
      </c>
      <c r="H7" s="75">
        <v>112799</v>
      </c>
      <c r="I7">
        <v>111703</v>
      </c>
      <c r="J7">
        <v>111964</v>
      </c>
      <c r="K7" s="72">
        <v>111412</v>
      </c>
      <c r="L7">
        <v>110841</v>
      </c>
      <c r="M7">
        <v>113651</v>
      </c>
      <c r="N7">
        <v>114358</v>
      </c>
      <c r="O7">
        <v>117821</v>
      </c>
      <c r="P7">
        <v>121986</v>
      </c>
      <c r="Q7">
        <v>123891</v>
      </c>
      <c r="R7">
        <v>127255</v>
      </c>
      <c r="S7">
        <v>130255</v>
      </c>
      <c r="T7">
        <v>131632</v>
      </c>
      <c r="U7">
        <v>134445</v>
      </c>
      <c r="V7">
        <v>134937</v>
      </c>
      <c r="W7">
        <v>136985</v>
      </c>
      <c r="X7">
        <v>133055</v>
      </c>
      <c r="Y7">
        <v>127962</v>
      </c>
      <c r="Z7">
        <v>123655</v>
      </c>
      <c r="AA7">
        <v>120293</v>
      </c>
      <c r="AB7">
        <v>116508</v>
      </c>
      <c r="AC7">
        <v>112091</v>
      </c>
      <c r="AD7">
        <v>109377</v>
      </c>
      <c r="AE7">
        <v>105887</v>
      </c>
      <c r="AF7">
        <v>101491</v>
      </c>
      <c r="AG7">
        <v>98302</v>
      </c>
      <c r="AH7">
        <v>94687</v>
      </c>
      <c r="AI7">
        <v>93599</v>
      </c>
      <c r="AJ7">
        <v>89583</v>
      </c>
      <c r="AK7">
        <v>91526</v>
      </c>
      <c r="AL7">
        <v>89319</v>
      </c>
      <c r="AM7">
        <v>89561</v>
      </c>
      <c r="AN7">
        <v>87569</v>
      </c>
      <c r="AO7">
        <v>86856</v>
      </c>
      <c r="AP7">
        <v>82537</v>
      </c>
      <c r="AQ7">
        <v>80903</v>
      </c>
      <c r="AR7">
        <v>77452</v>
      </c>
      <c r="AS7">
        <v>73399</v>
      </c>
      <c r="AT7">
        <v>68140</v>
      </c>
      <c r="AU7">
        <v>62135</v>
      </c>
      <c r="AV7">
        <v>59946</v>
      </c>
      <c r="AW7">
        <v>57332</v>
      </c>
      <c r="AX7">
        <v>54226</v>
      </c>
      <c r="AY7">
        <v>53247</v>
      </c>
      <c r="AZ7">
        <v>51575</v>
      </c>
      <c r="BA7">
        <v>49148</v>
      </c>
      <c r="BB7">
        <v>45947</v>
      </c>
      <c r="BC7">
        <v>43899</v>
      </c>
      <c r="BD7">
        <v>40870</v>
      </c>
      <c r="BE7">
        <v>38788</v>
      </c>
      <c r="BF7">
        <v>35049</v>
      </c>
      <c r="BG7">
        <v>31793</v>
      </c>
      <c r="BH7">
        <v>28158</v>
      </c>
      <c r="BI7">
        <v>25623</v>
      </c>
      <c r="BJ7">
        <v>22494</v>
      </c>
      <c r="BK7">
        <v>19271</v>
      </c>
      <c r="BL7">
        <v>16203</v>
      </c>
      <c r="BM7">
        <v>13235</v>
      </c>
      <c r="BN7">
        <v>11080</v>
      </c>
      <c r="BO7">
        <v>8253</v>
      </c>
      <c r="BP7">
        <v>5439</v>
      </c>
      <c r="BQ7">
        <v>3878</v>
      </c>
      <c r="BR7">
        <v>2844</v>
      </c>
      <c r="BS7">
        <v>2040</v>
      </c>
      <c r="BT7">
        <v>1348</v>
      </c>
      <c r="BU7">
        <v>1014</v>
      </c>
      <c r="BV7">
        <v>1495</v>
      </c>
    </row>
    <row r="8" spans="1:74" x14ac:dyDescent="0.25">
      <c r="A8" s="66">
        <v>2014</v>
      </c>
      <c r="B8" s="101" t="s">
        <v>8</v>
      </c>
      <c r="D8" s="75">
        <v>115063</v>
      </c>
      <c r="E8" s="75">
        <v>114796</v>
      </c>
      <c r="F8" s="75">
        <v>117620</v>
      </c>
      <c r="G8" s="75">
        <v>117166</v>
      </c>
      <c r="H8" s="75">
        <v>117803</v>
      </c>
      <c r="I8">
        <v>114646</v>
      </c>
      <c r="J8">
        <v>113408</v>
      </c>
      <c r="K8" s="72">
        <v>113520</v>
      </c>
      <c r="L8">
        <v>112829</v>
      </c>
      <c r="M8">
        <v>112317</v>
      </c>
      <c r="N8">
        <v>114969</v>
      </c>
      <c r="O8">
        <v>115627</v>
      </c>
      <c r="P8">
        <v>119165</v>
      </c>
      <c r="Q8">
        <v>123116</v>
      </c>
      <c r="R8">
        <v>124883</v>
      </c>
      <c r="S8">
        <v>128140</v>
      </c>
      <c r="T8">
        <v>131074</v>
      </c>
      <c r="U8">
        <v>132348</v>
      </c>
      <c r="V8">
        <v>135157</v>
      </c>
      <c r="W8">
        <v>135381</v>
      </c>
      <c r="X8">
        <v>137385</v>
      </c>
      <c r="Y8">
        <v>133323</v>
      </c>
      <c r="Z8">
        <v>128126</v>
      </c>
      <c r="AA8">
        <v>123612</v>
      </c>
      <c r="AB8">
        <v>120169</v>
      </c>
      <c r="AC8">
        <v>116355</v>
      </c>
      <c r="AD8">
        <v>111835</v>
      </c>
      <c r="AE8">
        <v>108928</v>
      </c>
      <c r="AF8">
        <v>105395</v>
      </c>
      <c r="AG8">
        <v>100950</v>
      </c>
      <c r="AH8">
        <v>97474</v>
      </c>
      <c r="AI8">
        <v>93958</v>
      </c>
      <c r="AJ8">
        <v>92790</v>
      </c>
      <c r="AK8">
        <v>88729</v>
      </c>
      <c r="AL8">
        <v>90535</v>
      </c>
      <c r="AM8">
        <v>88082</v>
      </c>
      <c r="AN8">
        <v>88411</v>
      </c>
      <c r="AO8">
        <v>86626</v>
      </c>
      <c r="AP8">
        <v>85862</v>
      </c>
      <c r="AQ8">
        <v>81575</v>
      </c>
      <c r="AR8">
        <v>79860</v>
      </c>
      <c r="AS8">
        <v>76403</v>
      </c>
      <c r="AT8">
        <v>72359</v>
      </c>
      <c r="AU8">
        <v>67018</v>
      </c>
      <c r="AV8">
        <v>61086</v>
      </c>
      <c r="AW8">
        <v>58771</v>
      </c>
      <c r="AX8">
        <v>56078</v>
      </c>
      <c r="AY8">
        <v>52924</v>
      </c>
      <c r="AZ8">
        <v>51759</v>
      </c>
      <c r="BA8">
        <v>50050</v>
      </c>
      <c r="BB8">
        <v>47388</v>
      </c>
      <c r="BC8">
        <v>44048</v>
      </c>
      <c r="BD8">
        <v>41857</v>
      </c>
      <c r="BE8">
        <v>38737</v>
      </c>
      <c r="BF8">
        <v>36471</v>
      </c>
      <c r="BG8">
        <v>32630</v>
      </c>
      <c r="BH8">
        <v>29283</v>
      </c>
      <c r="BI8">
        <v>25534</v>
      </c>
      <c r="BJ8">
        <v>22974</v>
      </c>
      <c r="BK8">
        <v>19733</v>
      </c>
      <c r="BL8">
        <v>16766</v>
      </c>
      <c r="BM8">
        <v>13772</v>
      </c>
      <c r="BN8">
        <v>10983</v>
      </c>
      <c r="BO8">
        <v>8982</v>
      </c>
      <c r="BP8">
        <v>6533</v>
      </c>
      <c r="BQ8">
        <v>4184</v>
      </c>
      <c r="BR8">
        <v>2901</v>
      </c>
      <c r="BS8">
        <v>2016</v>
      </c>
      <c r="BT8">
        <v>1430</v>
      </c>
      <c r="BU8">
        <v>936</v>
      </c>
      <c r="BV8">
        <v>1543</v>
      </c>
    </row>
    <row r="9" spans="1:74" x14ac:dyDescent="0.25">
      <c r="A9" s="66">
        <v>2015</v>
      </c>
      <c r="B9" s="101" t="s">
        <v>8</v>
      </c>
      <c r="D9" s="75">
        <v>116102</v>
      </c>
      <c r="E9" s="75">
        <v>117710</v>
      </c>
      <c r="F9" s="75">
        <v>116936</v>
      </c>
      <c r="G9" s="75">
        <v>119582</v>
      </c>
      <c r="H9" s="75">
        <v>118954</v>
      </c>
      <c r="I9">
        <v>119484</v>
      </c>
      <c r="J9">
        <v>116085</v>
      </c>
      <c r="K9" s="72">
        <v>114823</v>
      </c>
      <c r="L9">
        <v>114775</v>
      </c>
      <c r="M9">
        <v>114043</v>
      </c>
      <c r="N9">
        <v>113461</v>
      </c>
      <c r="O9">
        <v>116060</v>
      </c>
      <c r="P9">
        <v>116596</v>
      </c>
      <c r="Q9">
        <v>120122</v>
      </c>
      <c r="R9">
        <v>123928</v>
      </c>
      <c r="S9">
        <v>125593</v>
      </c>
      <c r="T9">
        <v>128798</v>
      </c>
      <c r="U9">
        <v>131653</v>
      </c>
      <c r="V9">
        <v>132787</v>
      </c>
      <c r="W9">
        <v>135414</v>
      </c>
      <c r="X9">
        <v>135553</v>
      </c>
      <c r="Y9">
        <v>137557</v>
      </c>
      <c r="Z9">
        <v>133203</v>
      </c>
      <c r="AA9">
        <v>128026</v>
      </c>
      <c r="AB9">
        <v>123435</v>
      </c>
      <c r="AC9">
        <v>119891</v>
      </c>
      <c r="AD9">
        <v>115985</v>
      </c>
      <c r="AE9">
        <v>111378</v>
      </c>
      <c r="AF9">
        <v>108328</v>
      </c>
      <c r="AG9">
        <v>104695</v>
      </c>
      <c r="AH9">
        <v>99934</v>
      </c>
      <c r="AI9">
        <v>96618</v>
      </c>
      <c r="AJ9">
        <v>93031</v>
      </c>
      <c r="AK9">
        <v>91759</v>
      </c>
      <c r="AL9">
        <v>87637</v>
      </c>
      <c r="AM9">
        <v>89081</v>
      </c>
      <c r="AN9">
        <v>86899</v>
      </c>
      <c r="AO9">
        <v>87320</v>
      </c>
      <c r="AP9">
        <v>85534</v>
      </c>
      <c r="AQ9">
        <v>84759</v>
      </c>
      <c r="AR9">
        <v>80555</v>
      </c>
      <c r="AS9">
        <v>78648</v>
      </c>
      <c r="AT9">
        <v>75186</v>
      </c>
      <c r="AU9">
        <v>71154</v>
      </c>
      <c r="AV9">
        <v>65706</v>
      </c>
      <c r="AW9">
        <v>59840</v>
      </c>
      <c r="AX9">
        <v>57390</v>
      </c>
      <c r="AY9">
        <v>54599</v>
      </c>
      <c r="AZ9">
        <v>51431</v>
      </c>
      <c r="BA9">
        <v>50083</v>
      </c>
      <c r="BB9">
        <v>48254</v>
      </c>
      <c r="BC9">
        <v>45370</v>
      </c>
      <c r="BD9">
        <v>41982</v>
      </c>
      <c r="BE9">
        <v>39590</v>
      </c>
      <c r="BF9">
        <v>36307</v>
      </c>
      <c r="BG9">
        <v>33966</v>
      </c>
      <c r="BH9">
        <v>29947</v>
      </c>
      <c r="BI9">
        <v>26560</v>
      </c>
      <c r="BJ9">
        <v>22767</v>
      </c>
      <c r="BK9">
        <v>20153</v>
      </c>
      <c r="BL9">
        <v>16964</v>
      </c>
      <c r="BM9">
        <v>14103</v>
      </c>
      <c r="BN9">
        <v>11349</v>
      </c>
      <c r="BO9">
        <v>8704</v>
      </c>
      <c r="BP9">
        <v>7025</v>
      </c>
      <c r="BQ9">
        <v>4898</v>
      </c>
      <c r="BR9">
        <v>3031</v>
      </c>
      <c r="BS9">
        <v>2041</v>
      </c>
      <c r="BT9">
        <v>1368</v>
      </c>
      <c r="BU9">
        <v>926</v>
      </c>
      <c r="BV9">
        <v>1562</v>
      </c>
    </row>
    <row r="10" spans="1:74" x14ac:dyDescent="0.25">
      <c r="A10" s="66">
        <v>2016</v>
      </c>
      <c r="B10" s="101" t="s">
        <v>8</v>
      </c>
      <c r="D10" s="75">
        <v>117891</v>
      </c>
      <c r="E10" s="75">
        <v>118441</v>
      </c>
      <c r="F10" s="75">
        <v>119771</v>
      </c>
      <c r="G10" s="75">
        <v>118859</v>
      </c>
      <c r="H10" s="75">
        <v>121138</v>
      </c>
      <c r="I10">
        <v>120459</v>
      </c>
      <c r="J10">
        <v>120823</v>
      </c>
      <c r="K10" s="72">
        <v>117375</v>
      </c>
      <c r="L10" s="72">
        <v>115893</v>
      </c>
      <c r="M10" s="72">
        <v>115789</v>
      </c>
      <c r="N10">
        <v>114962</v>
      </c>
      <c r="O10">
        <v>114328</v>
      </c>
      <c r="P10">
        <v>116773</v>
      </c>
      <c r="Q10">
        <v>117430</v>
      </c>
      <c r="R10">
        <v>120737</v>
      </c>
      <c r="S10">
        <v>124455</v>
      </c>
      <c r="T10">
        <v>126056</v>
      </c>
      <c r="U10">
        <v>129200</v>
      </c>
      <c r="V10">
        <v>131923</v>
      </c>
      <c r="W10">
        <v>133045</v>
      </c>
      <c r="X10">
        <v>135438</v>
      </c>
      <c r="Y10">
        <v>135542</v>
      </c>
      <c r="Z10">
        <v>137480</v>
      </c>
      <c r="AA10">
        <v>132962</v>
      </c>
      <c r="AB10">
        <v>127619</v>
      </c>
      <c r="AC10">
        <v>122990</v>
      </c>
      <c r="AD10">
        <v>119313</v>
      </c>
      <c r="AE10">
        <v>115325</v>
      </c>
      <c r="AF10">
        <v>110590</v>
      </c>
      <c r="AG10">
        <v>107594</v>
      </c>
      <c r="AH10">
        <v>103695</v>
      </c>
      <c r="AI10">
        <v>99032</v>
      </c>
      <c r="AJ10">
        <v>95579</v>
      </c>
      <c r="AK10">
        <v>91869</v>
      </c>
      <c r="AL10">
        <v>90533</v>
      </c>
      <c r="AM10">
        <v>86145</v>
      </c>
      <c r="AN10">
        <v>87745</v>
      </c>
      <c r="AO10">
        <v>85790</v>
      </c>
      <c r="AP10">
        <v>86206</v>
      </c>
      <c r="AQ10">
        <v>84482</v>
      </c>
      <c r="AR10">
        <v>83660</v>
      </c>
      <c r="AS10">
        <v>79380</v>
      </c>
      <c r="AT10">
        <v>77360</v>
      </c>
      <c r="AU10">
        <v>74007</v>
      </c>
      <c r="AV10">
        <v>69833</v>
      </c>
      <c r="AW10">
        <v>64398</v>
      </c>
      <c r="AX10">
        <v>58444</v>
      </c>
      <c r="AY10">
        <v>55966</v>
      </c>
      <c r="AZ10">
        <v>53160</v>
      </c>
      <c r="BA10">
        <v>49931</v>
      </c>
      <c r="BB10">
        <v>48295</v>
      </c>
      <c r="BC10">
        <v>46289</v>
      </c>
      <c r="BD10">
        <v>43298</v>
      </c>
      <c r="BE10">
        <v>39825</v>
      </c>
      <c r="BF10">
        <v>37264</v>
      </c>
      <c r="BG10">
        <v>33838</v>
      </c>
      <c r="BH10">
        <v>31328</v>
      </c>
      <c r="BI10">
        <v>27234</v>
      </c>
      <c r="BJ10">
        <v>23887</v>
      </c>
      <c r="BK10">
        <v>20183</v>
      </c>
      <c r="BL10">
        <v>17415</v>
      </c>
      <c r="BM10">
        <v>14544</v>
      </c>
      <c r="BN10">
        <v>11754</v>
      </c>
      <c r="BO10">
        <v>9260</v>
      </c>
      <c r="BP10">
        <v>6905</v>
      </c>
      <c r="BQ10">
        <v>5372</v>
      </c>
      <c r="BR10">
        <v>3693</v>
      </c>
      <c r="BS10">
        <v>2220</v>
      </c>
      <c r="BT10">
        <v>1481</v>
      </c>
      <c r="BU10">
        <v>921</v>
      </c>
      <c r="BV10">
        <v>1546</v>
      </c>
    </row>
    <row r="11" spans="1:74" x14ac:dyDescent="0.25">
      <c r="A11" s="66">
        <v>2017</v>
      </c>
      <c r="B11" s="101" t="s">
        <v>8</v>
      </c>
      <c r="D11" s="75">
        <v>117867</v>
      </c>
      <c r="E11" s="75">
        <v>119803</v>
      </c>
      <c r="F11" s="75">
        <v>120129</v>
      </c>
      <c r="G11" s="75">
        <v>121088</v>
      </c>
      <c r="H11" s="75">
        <v>120008</v>
      </c>
      <c r="I11">
        <v>122467</v>
      </c>
      <c r="J11">
        <v>121530</v>
      </c>
      <c r="K11" s="72">
        <v>121803</v>
      </c>
      <c r="L11" s="72">
        <v>118156</v>
      </c>
      <c r="M11" s="72">
        <v>116771</v>
      </c>
      <c r="N11">
        <v>116577</v>
      </c>
      <c r="O11">
        <v>115510</v>
      </c>
      <c r="P11">
        <v>114913</v>
      </c>
      <c r="Q11">
        <v>117289</v>
      </c>
      <c r="R11">
        <v>117882</v>
      </c>
      <c r="S11">
        <v>121145</v>
      </c>
      <c r="T11">
        <v>124767</v>
      </c>
      <c r="U11">
        <v>126312</v>
      </c>
      <c r="V11">
        <v>129490</v>
      </c>
      <c r="W11">
        <v>131882</v>
      </c>
      <c r="X11">
        <v>132985</v>
      </c>
      <c r="Y11">
        <v>135292</v>
      </c>
      <c r="Z11">
        <v>135189</v>
      </c>
      <c r="AA11">
        <v>137150</v>
      </c>
      <c r="AB11">
        <v>132480</v>
      </c>
      <c r="AC11">
        <v>126998</v>
      </c>
      <c r="AD11">
        <v>122245</v>
      </c>
      <c r="AE11">
        <v>118586</v>
      </c>
      <c r="AF11">
        <v>114426</v>
      </c>
      <c r="AG11">
        <v>109632</v>
      </c>
      <c r="AH11">
        <v>106341</v>
      </c>
      <c r="AI11">
        <v>102553</v>
      </c>
      <c r="AJ11">
        <v>97795</v>
      </c>
      <c r="AK11">
        <v>94287</v>
      </c>
      <c r="AL11">
        <v>90397</v>
      </c>
      <c r="AM11">
        <v>88779</v>
      </c>
      <c r="AN11">
        <v>84715</v>
      </c>
      <c r="AO11">
        <v>86481</v>
      </c>
      <c r="AP11">
        <v>84564</v>
      </c>
      <c r="AQ11">
        <v>84953</v>
      </c>
      <c r="AR11">
        <v>83230</v>
      </c>
      <c r="AS11">
        <v>82377</v>
      </c>
      <c r="AT11">
        <v>78096</v>
      </c>
      <c r="AU11">
        <v>76048</v>
      </c>
      <c r="AV11">
        <v>72610</v>
      </c>
      <c r="AW11">
        <v>68354</v>
      </c>
      <c r="AX11">
        <v>62950</v>
      </c>
      <c r="AY11">
        <v>56973</v>
      </c>
      <c r="AZ11">
        <v>54419</v>
      </c>
      <c r="BA11">
        <v>51480</v>
      </c>
      <c r="BB11">
        <v>48170</v>
      </c>
      <c r="BC11">
        <v>46390</v>
      </c>
      <c r="BD11">
        <v>44158</v>
      </c>
      <c r="BE11">
        <v>41049</v>
      </c>
      <c r="BF11">
        <v>37430</v>
      </c>
      <c r="BG11">
        <v>34724</v>
      </c>
      <c r="BH11">
        <v>31238</v>
      </c>
      <c r="BI11">
        <v>28441</v>
      </c>
      <c r="BJ11">
        <v>24476</v>
      </c>
      <c r="BK11">
        <v>21018</v>
      </c>
      <c r="BL11">
        <v>17526</v>
      </c>
      <c r="BM11">
        <v>14799</v>
      </c>
      <c r="BN11">
        <v>12128</v>
      </c>
      <c r="BO11">
        <v>9547</v>
      </c>
      <c r="BP11">
        <v>7287</v>
      </c>
      <c r="BQ11">
        <v>5294</v>
      </c>
      <c r="BR11">
        <v>3998</v>
      </c>
      <c r="BS11">
        <v>2628</v>
      </c>
      <c r="BT11">
        <v>1548</v>
      </c>
      <c r="BU11">
        <v>977</v>
      </c>
      <c r="BV11">
        <v>1510</v>
      </c>
    </row>
    <row r="12" spans="1:74" x14ac:dyDescent="0.25">
      <c r="A12" s="66">
        <v>2018</v>
      </c>
      <c r="B12" s="101" t="s">
        <v>8</v>
      </c>
      <c r="D12" s="75">
        <v>121551</v>
      </c>
      <c r="E12" s="75">
        <v>119651</v>
      </c>
      <c r="F12" s="75">
        <v>121315</v>
      </c>
      <c r="G12" s="75">
        <v>121692</v>
      </c>
      <c r="H12" s="75">
        <v>122281</v>
      </c>
      <c r="I12">
        <v>121206</v>
      </c>
      <c r="J12">
        <v>123482</v>
      </c>
      <c r="K12" s="72">
        <v>122485</v>
      </c>
      <c r="L12" s="72">
        <v>122602</v>
      </c>
      <c r="M12" s="72">
        <v>118931</v>
      </c>
      <c r="N12">
        <v>117388</v>
      </c>
      <c r="O12">
        <v>117070</v>
      </c>
      <c r="P12">
        <v>116092</v>
      </c>
      <c r="Q12">
        <v>115478</v>
      </c>
      <c r="R12">
        <v>117755</v>
      </c>
      <c r="S12">
        <v>118183</v>
      </c>
      <c r="T12">
        <v>121474</v>
      </c>
      <c r="U12">
        <v>124965</v>
      </c>
      <c r="V12">
        <v>126408</v>
      </c>
      <c r="W12">
        <v>129619</v>
      </c>
      <c r="X12">
        <v>131905</v>
      </c>
      <c r="Y12">
        <v>132812</v>
      </c>
      <c r="Z12">
        <v>134948</v>
      </c>
      <c r="AA12">
        <v>134843</v>
      </c>
      <c r="AB12">
        <v>136638</v>
      </c>
      <c r="AC12">
        <v>131834</v>
      </c>
      <c r="AD12">
        <v>126338</v>
      </c>
      <c r="AE12">
        <v>121521</v>
      </c>
      <c r="AF12">
        <v>117627</v>
      </c>
      <c r="AG12">
        <v>113412</v>
      </c>
      <c r="AH12">
        <v>108172</v>
      </c>
      <c r="AI12">
        <v>104986</v>
      </c>
      <c r="AJ12">
        <v>101270</v>
      </c>
      <c r="AK12">
        <v>96383</v>
      </c>
      <c r="AL12">
        <v>92718</v>
      </c>
      <c r="AM12">
        <v>88544</v>
      </c>
      <c r="AN12">
        <v>87262</v>
      </c>
      <c r="AO12">
        <v>83525</v>
      </c>
      <c r="AP12">
        <v>85299</v>
      </c>
      <c r="AQ12">
        <v>83366</v>
      </c>
      <c r="AR12">
        <v>83694</v>
      </c>
      <c r="AS12">
        <v>81987</v>
      </c>
      <c r="AT12">
        <v>81041</v>
      </c>
      <c r="AU12">
        <v>76743</v>
      </c>
      <c r="AV12">
        <v>74651</v>
      </c>
      <c r="AW12">
        <v>71073</v>
      </c>
      <c r="AX12">
        <v>66928</v>
      </c>
      <c r="AY12">
        <v>61435</v>
      </c>
      <c r="AZ12">
        <v>55340</v>
      </c>
      <c r="BA12">
        <v>52761</v>
      </c>
      <c r="BB12">
        <v>49723</v>
      </c>
      <c r="BC12">
        <v>46253</v>
      </c>
      <c r="BD12">
        <v>44302</v>
      </c>
      <c r="BE12">
        <v>41906</v>
      </c>
      <c r="BF12">
        <v>38648</v>
      </c>
      <c r="BG12">
        <v>34943</v>
      </c>
      <c r="BH12">
        <v>32078</v>
      </c>
      <c r="BI12">
        <v>28487</v>
      </c>
      <c r="BJ12">
        <v>25660</v>
      </c>
      <c r="BK12">
        <v>21648</v>
      </c>
      <c r="BL12">
        <v>18261</v>
      </c>
      <c r="BM12">
        <v>14947</v>
      </c>
      <c r="BN12">
        <v>12304</v>
      </c>
      <c r="BO12">
        <v>9861</v>
      </c>
      <c r="BP12">
        <v>7586</v>
      </c>
      <c r="BQ12">
        <v>5669</v>
      </c>
      <c r="BR12">
        <v>3971</v>
      </c>
      <c r="BS12">
        <v>2923</v>
      </c>
      <c r="BT12">
        <v>1828</v>
      </c>
      <c r="BU12">
        <v>1082</v>
      </c>
      <c r="BV12">
        <v>1572</v>
      </c>
    </row>
    <row r="13" spans="1:74" x14ac:dyDescent="0.25">
      <c r="A13" s="66">
        <v>2019</v>
      </c>
      <c r="B13" s="101" t="s">
        <v>8</v>
      </c>
      <c r="D13" s="75">
        <v>120951</v>
      </c>
      <c r="E13" s="75">
        <v>123719</v>
      </c>
      <c r="F13" s="75">
        <v>121483</v>
      </c>
      <c r="G13" s="75">
        <v>122975</v>
      </c>
      <c r="H13" s="75">
        <v>122953</v>
      </c>
      <c r="I13">
        <v>123350</v>
      </c>
      <c r="J13">
        <v>122415</v>
      </c>
      <c r="K13" s="72">
        <v>124532</v>
      </c>
      <c r="L13" s="72">
        <v>123430</v>
      </c>
      <c r="M13" s="72">
        <v>123368</v>
      </c>
      <c r="N13">
        <v>119672</v>
      </c>
      <c r="O13">
        <v>118212</v>
      </c>
      <c r="P13">
        <v>117660</v>
      </c>
      <c r="Q13">
        <v>116625</v>
      </c>
      <c r="R13">
        <v>115987</v>
      </c>
      <c r="S13">
        <v>118170</v>
      </c>
      <c r="T13">
        <v>118579</v>
      </c>
      <c r="U13">
        <v>121751</v>
      </c>
      <c r="V13">
        <v>125213</v>
      </c>
      <c r="W13">
        <v>126456</v>
      </c>
      <c r="X13">
        <v>129488</v>
      </c>
      <c r="Y13">
        <v>131768</v>
      </c>
      <c r="Z13">
        <v>132580</v>
      </c>
      <c r="AA13">
        <v>134647</v>
      </c>
      <c r="AB13">
        <v>134334</v>
      </c>
      <c r="AC13">
        <v>135976</v>
      </c>
      <c r="AD13">
        <v>131156</v>
      </c>
      <c r="AE13">
        <v>125675</v>
      </c>
      <c r="AF13">
        <v>120627</v>
      </c>
      <c r="AG13">
        <v>116586</v>
      </c>
      <c r="AH13">
        <v>111966</v>
      </c>
      <c r="AI13">
        <v>106920</v>
      </c>
      <c r="AJ13">
        <v>103644</v>
      </c>
      <c r="AK13">
        <v>99887</v>
      </c>
      <c r="AL13">
        <v>94930</v>
      </c>
      <c r="AM13">
        <v>90810</v>
      </c>
      <c r="AN13">
        <v>87083</v>
      </c>
      <c r="AO13">
        <v>86127</v>
      </c>
      <c r="AP13">
        <v>82416</v>
      </c>
      <c r="AQ13">
        <v>84176</v>
      </c>
      <c r="AR13">
        <v>82159</v>
      </c>
      <c r="AS13">
        <v>82424</v>
      </c>
      <c r="AT13">
        <v>80621</v>
      </c>
      <c r="AU13">
        <v>79524</v>
      </c>
      <c r="AV13">
        <v>75363</v>
      </c>
      <c r="AW13">
        <v>73162</v>
      </c>
      <c r="AX13">
        <v>69497</v>
      </c>
      <c r="AY13">
        <v>65330</v>
      </c>
      <c r="AZ13">
        <v>59792</v>
      </c>
      <c r="BA13">
        <v>53646</v>
      </c>
      <c r="BB13">
        <v>51003</v>
      </c>
      <c r="BC13">
        <v>47790</v>
      </c>
      <c r="BD13">
        <v>44240</v>
      </c>
      <c r="BE13">
        <v>41987</v>
      </c>
      <c r="BF13">
        <v>39493</v>
      </c>
      <c r="BG13">
        <v>36129</v>
      </c>
      <c r="BH13">
        <v>32378</v>
      </c>
      <c r="BI13">
        <v>29277</v>
      </c>
      <c r="BJ13">
        <v>25685</v>
      </c>
      <c r="BK13">
        <v>22809</v>
      </c>
      <c r="BL13">
        <v>18845</v>
      </c>
      <c r="BM13">
        <v>15694</v>
      </c>
      <c r="BN13">
        <v>12470</v>
      </c>
      <c r="BO13">
        <v>10071</v>
      </c>
      <c r="BP13">
        <v>7805</v>
      </c>
      <c r="BQ13">
        <v>5934</v>
      </c>
      <c r="BR13">
        <v>4249</v>
      </c>
      <c r="BS13">
        <v>2860</v>
      </c>
      <c r="BT13">
        <v>2073</v>
      </c>
      <c r="BU13">
        <v>1232</v>
      </c>
      <c r="BV13">
        <v>1646</v>
      </c>
    </row>
    <row r="14" spans="1:74" x14ac:dyDescent="0.25"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T14" s="72"/>
      <c r="U14" s="72"/>
      <c r="V14" s="72"/>
    </row>
    <row r="15" spans="1:74" x14ac:dyDescent="0.25"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T15" s="72"/>
      <c r="U15" s="72"/>
      <c r="V15" s="72"/>
    </row>
    <row r="16" spans="1:74" x14ac:dyDescent="0.25"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8"/>
      <c r="Z16" s="8"/>
    </row>
    <row r="17" spans="1:74" x14ac:dyDescent="0.25">
      <c r="A17" s="102"/>
      <c r="B17" s="81"/>
      <c r="D17" s="82" t="s">
        <v>50</v>
      </c>
      <c r="E17" s="82" t="s">
        <v>51</v>
      </c>
      <c r="F17" s="82" t="s">
        <v>52</v>
      </c>
      <c r="G17" s="82" t="s">
        <v>53</v>
      </c>
      <c r="H17" s="82" t="s">
        <v>54</v>
      </c>
      <c r="I17" s="82" t="s">
        <v>55</v>
      </c>
      <c r="J17" s="82" t="s">
        <v>56</v>
      </c>
      <c r="K17" s="82" t="s">
        <v>57</v>
      </c>
      <c r="L17" s="82" t="s">
        <v>58</v>
      </c>
      <c r="M17" s="82" t="s">
        <v>59</v>
      </c>
      <c r="N17" s="82" t="s">
        <v>60</v>
      </c>
      <c r="O17" s="82" t="s">
        <v>61</v>
      </c>
      <c r="P17" s="82" t="s">
        <v>62</v>
      </c>
      <c r="Q17" s="82" t="s">
        <v>63</v>
      </c>
      <c r="R17" s="82" t="s">
        <v>64</v>
      </c>
      <c r="S17" s="82" t="s">
        <v>65</v>
      </c>
      <c r="T17" s="82" t="s">
        <v>66</v>
      </c>
      <c r="U17" s="82" t="s">
        <v>67</v>
      </c>
      <c r="V17" s="82" t="s">
        <v>68</v>
      </c>
      <c r="W17" s="82" t="s">
        <v>69</v>
      </c>
      <c r="X17" s="82" t="s">
        <v>70</v>
      </c>
      <c r="Y17" s="82" t="s">
        <v>71</v>
      </c>
      <c r="Z17" s="82" t="s">
        <v>72</v>
      </c>
      <c r="AA17" s="82" t="s">
        <v>73</v>
      </c>
      <c r="AB17" s="82" t="s">
        <v>74</v>
      </c>
      <c r="AC17" s="82" t="s">
        <v>75</v>
      </c>
      <c r="AD17" s="82" t="s">
        <v>76</v>
      </c>
      <c r="AE17" s="82" t="s">
        <v>77</v>
      </c>
      <c r="AF17" s="82" t="s">
        <v>78</v>
      </c>
      <c r="AG17" s="82" t="s">
        <v>79</v>
      </c>
      <c r="AH17" s="82" t="s">
        <v>80</v>
      </c>
      <c r="AI17" s="82" t="s">
        <v>81</v>
      </c>
      <c r="AJ17" s="82" t="s">
        <v>82</v>
      </c>
      <c r="AK17" s="82" t="s">
        <v>83</v>
      </c>
      <c r="AL17" s="82" t="s">
        <v>84</v>
      </c>
      <c r="AM17" s="82" t="s">
        <v>85</v>
      </c>
      <c r="AN17" s="82" t="s">
        <v>86</v>
      </c>
      <c r="AO17" s="82" t="s">
        <v>87</v>
      </c>
      <c r="AP17" s="82" t="s">
        <v>88</v>
      </c>
      <c r="AQ17" s="82" t="s">
        <v>89</v>
      </c>
      <c r="AR17" s="82" t="s">
        <v>90</v>
      </c>
      <c r="AS17" s="82" t="s">
        <v>91</v>
      </c>
      <c r="AT17" s="82" t="s">
        <v>92</v>
      </c>
      <c r="AU17" s="82" t="s">
        <v>93</v>
      </c>
      <c r="AV17" s="82" t="s">
        <v>94</v>
      </c>
      <c r="AW17" s="82" t="s">
        <v>95</v>
      </c>
      <c r="AX17" s="82" t="s">
        <v>96</v>
      </c>
      <c r="AY17" s="82" t="s">
        <v>97</v>
      </c>
      <c r="AZ17" s="82" t="s">
        <v>98</v>
      </c>
      <c r="BA17" s="82" t="s">
        <v>99</v>
      </c>
      <c r="BB17" s="82" t="s">
        <v>100</v>
      </c>
      <c r="BC17" s="82" t="s">
        <v>101</v>
      </c>
      <c r="BD17" s="82" t="s">
        <v>102</v>
      </c>
      <c r="BE17" s="82" t="s">
        <v>103</v>
      </c>
      <c r="BF17" s="82" t="s">
        <v>104</v>
      </c>
      <c r="BG17" s="82" t="s">
        <v>105</v>
      </c>
      <c r="BH17" s="82" t="s">
        <v>106</v>
      </c>
      <c r="BI17" s="82" t="s">
        <v>107</v>
      </c>
      <c r="BJ17" s="82" t="s">
        <v>108</v>
      </c>
      <c r="BK17" s="82" t="s">
        <v>109</v>
      </c>
      <c r="BL17" s="82" t="s">
        <v>110</v>
      </c>
      <c r="BM17" s="82" t="s">
        <v>111</v>
      </c>
      <c r="BN17" s="82" t="s">
        <v>112</v>
      </c>
      <c r="BO17" s="82" t="s">
        <v>113</v>
      </c>
      <c r="BP17" s="82" t="s">
        <v>114</v>
      </c>
      <c r="BQ17" s="82" t="s">
        <v>115</v>
      </c>
      <c r="BR17" s="82" t="s">
        <v>116</v>
      </c>
      <c r="BS17" s="82" t="s">
        <v>117</v>
      </c>
      <c r="BT17" s="82" t="s">
        <v>118</v>
      </c>
      <c r="BU17" s="82" t="s">
        <v>119</v>
      </c>
      <c r="BV17" s="82" t="s">
        <v>120</v>
      </c>
    </row>
    <row r="18" spans="1:74" x14ac:dyDescent="0.25">
      <c r="A18" s="66">
        <v>2010</v>
      </c>
      <c r="B18" s="82" t="s">
        <v>121</v>
      </c>
      <c r="D18" s="83">
        <v>55180</v>
      </c>
      <c r="E18" s="83">
        <v>53599</v>
      </c>
      <c r="F18" s="83">
        <v>53254</v>
      </c>
      <c r="G18" s="83">
        <v>53581</v>
      </c>
      <c r="H18" s="83">
        <v>53024</v>
      </c>
      <c r="I18" s="83">
        <v>53201</v>
      </c>
      <c r="J18" s="83">
        <v>54955</v>
      </c>
      <c r="K18" s="83">
        <v>55264</v>
      </c>
      <c r="L18" s="83">
        <v>57475</v>
      </c>
      <c r="M18" s="83">
        <v>59191</v>
      </c>
      <c r="N18" s="83">
        <v>60380</v>
      </c>
      <c r="O18" s="83">
        <v>62060</v>
      </c>
      <c r="P18" s="83">
        <v>64002</v>
      </c>
      <c r="Q18" s="83">
        <v>64688</v>
      </c>
      <c r="R18" s="83">
        <v>66958</v>
      </c>
      <c r="S18" s="83">
        <v>67773</v>
      </c>
      <c r="T18" s="83">
        <v>68756</v>
      </c>
      <c r="U18" s="83">
        <v>66710</v>
      </c>
      <c r="V18" s="83">
        <v>64411</v>
      </c>
      <c r="W18" s="83">
        <v>62096</v>
      </c>
      <c r="X18" s="83">
        <v>60644</v>
      </c>
      <c r="Y18" s="83">
        <v>58787</v>
      </c>
      <c r="Z18" s="83">
        <v>57107</v>
      </c>
      <c r="AA18" s="83">
        <v>55623</v>
      </c>
      <c r="AB18" s="83">
        <v>54523</v>
      </c>
      <c r="AC18" s="83">
        <v>51918</v>
      </c>
      <c r="AD18" s="83">
        <v>50006</v>
      </c>
      <c r="AE18" s="83">
        <v>48045</v>
      </c>
      <c r="AF18" s="83">
        <v>47674</v>
      </c>
      <c r="AG18" s="83">
        <v>45831</v>
      </c>
      <c r="AH18" s="83">
        <v>46799</v>
      </c>
      <c r="AI18" s="83">
        <v>45495</v>
      </c>
      <c r="AJ18" s="83">
        <v>45646</v>
      </c>
      <c r="AK18" s="83">
        <v>44763</v>
      </c>
      <c r="AL18" s="83">
        <v>44112</v>
      </c>
      <c r="AM18" s="83">
        <v>42111</v>
      </c>
      <c r="AN18" s="83">
        <v>40694</v>
      </c>
      <c r="AO18" s="83">
        <v>38745</v>
      </c>
      <c r="AP18" s="83">
        <v>36771</v>
      </c>
      <c r="AQ18" s="83">
        <v>33590</v>
      </c>
      <c r="AR18" s="83">
        <v>30225</v>
      </c>
      <c r="AS18" s="83">
        <v>29190</v>
      </c>
      <c r="AT18" s="83">
        <v>27838</v>
      </c>
      <c r="AU18" s="83">
        <v>26272</v>
      </c>
      <c r="AV18" s="83">
        <v>25583</v>
      </c>
      <c r="AW18" s="83">
        <v>24875</v>
      </c>
      <c r="AX18" s="83">
        <v>23648</v>
      </c>
      <c r="AY18" s="83">
        <v>21711</v>
      </c>
      <c r="AZ18" s="83">
        <v>20849</v>
      </c>
      <c r="BA18" s="83">
        <v>19347</v>
      </c>
      <c r="BB18" s="83">
        <v>18194</v>
      </c>
      <c r="BC18" s="83">
        <v>16295</v>
      </c>
      <c r="BD18" s="83">
        <v>14861</v>
      </c>
      <c r="BE18" s="83">
        <v>13206</v>
      </c>
      <c r="BF18" s="83">
        <v>12064</v>
      </c>
      <c r="BG18" s="83">
        <v>10698</v>
      </c>
      <c r="BH18" s="83">
        <v>9087</v>
      </c>
      <c r="BI18" s="83">
        <v>7901</v>
      </c>
      <c r="BJ18" s="83">
        <v>6628</v>
      </c>
      <c r="BK18" s="83">
        <v>5677</v>
      </c>
      <c r="BL18" s="83">
        <v>4528</v>
      </c>
      <c r="BM18" s="83">
        <v>3034</v>
      </c>
      <c r="BN18" s="83">
        <v>2222</v>
      </c>
      <c r="BO18" s="83">
        <v>1678</v>
      </c>
      <c r="BP18" s="83">
        <v>1260</v>
      </c>
      <c r="BQ18" s="83">
        <v>885</v>
      </c>
      <c r="BR18" s="83">
        <v>734</v>
      </c>
      <c r="BS18" s="83">
        <v>458</v>
      </c>
      <c r="BT18" s="83">
        <v>298</v>
      </c>
      <c r="BU18" s="83">
        <v>166</v>
      </c>
      <c r="BV18" s="83">
        <v>218</v>
      </c>
    </row>
    <row r="19" spans="1:74" x14ac:dyDescent="0.25">
      <c r="A19" s="66">
        <v>2011</v>
      </c>
      <c r="B19" s="82" t="s">
        <v>121</v>
      </c>
      <c r="D19" s="83">
        <v>55618</v>
      </c>
      <c r="E19" s="83">
        <v>56338</v>
      </c>
      <c r="F19" s="83">
        <v>54622</v>
      </c>
      <c r="G19" s="83">
        <v>54319</v>
      </c>
      <c r="H19" s="83">
        <v>54468</v>
      </c>
      <c r="I19" s="83">
        <v>53863</v>
      </c>
      <c r="J19" s="83">
        <v>54093</v>
      </c>
      <c r="K19" s="83">
        <v>55762</v>
      </c>
      <c r="L19" s="83">
        <v>55962</v>
      </c>
      <c r="M19" s="83">
        <v>58067</v>
      </c>
      <c r="N19" s="83">
        <v>59871</v>
      </c>
      <c r="O19" s="83">
        <v>61028</v>
      </c>
      <c r="P19" s="83">
        <v>62625</v>
      </c>
      <c r="Q19" s="83">
        <v>64485</v>
      </c>
      <c r="R19" s="83">
        <v>65177</v>
      </c>
      <c r="S19" s="83">
        <v>67289</v>
      </c>
      <c r="T19" s="83">
        <v>68102</v>
      </c>
      <c r="U19" s="83">
        <v>69014</v>
      </c>
      <c r="V19" s="83">
        <v>66946</v>
      </c>
      <c r="W19" s="83">
        <v>64501</v>
      </c>
      <c r="X19" s="83">
        <v>62209</v>
      </c>
      <c r="Y19" s="83">
        <v>60678</v>
      </c>
      <c r="Z19" s="83">
        <v>58833</v>
      </c>
      <c r="AA19" s="83">
        <v>57032</v>
      </c>
      <c r="AB19" s="83">
        <v>55505</v>
      </c>
      <c r="AC19" s="83">
        <v>54269</v>
      </c>
      <c r="AD19" s="83">
        <v>51728</v>
      </c>
      <c r="AE19" s="83">
        <v>49757</v>
      </c>
      <c r="AF19" s="83">
        <v>47756</v>
      </c>
      <c r="AG19" s="83">
        <v>47316</v>
      </c>
      <c r="AH19" s="83">
        <v>45247</v>
      </c>
      <c r="AI19" s="83">
        <v>46264</v>
      </c>
      <c r="AJ19" s="83">
        <v>44964</v>
      </c>
      <c r="AK19" s="83">
        <v>45101</v>
      </c>
      <c r="AL19" s="83">
        <v>44125</v>
      </c>
      <c r="AM19" s="83">
        <v>43272</v>
      </c>
      <c r="AN19" s="83">
        <v>41371</v>
      </c>
      <c r="AO19" s="83">
        <v>40064</v>
      </c>
      <c r="AP19" s="83">
        <v>38122</v>
      </c>
      <c r="AQ19" s="83">
        <v>36171</v>
      </c>
      <c r="AR19" s="83">
        <v>32994</v>
      </c>
      <c r="AS19" s="83">
        <v>29658</v>
      </c>
      <c r="AT19" s="83">
        <v>28604</v>
      </c>
      <c r="AU19" s="83">
        <v>27208</v>
      </c>
      <c r="AV19" s="83">
        <v>25577</v>
      </c>
      <c r="AW19" s="83">
        <v>24863</v>
      </c>
      <c r="AX19" s="83">
        <v>24088</v>
      </c>
      <c r="AY19" s="83">
        <v>22776</v>
      </c>
      <c r="AZ19" s="83">
        <v>20865</v>
      </c>
      <c r="BA19" s="83">
        <v>19938</v>
      </c>
      <c r="BB19" s="83">
        <v>18379</v>
      </c>
      <c r="BC19" s="83">
        <v>17161</v>
      </c>
      <c r="BD19" s="83">
        <v>15245</v>
      </c>
      <c r="BE19" s="83">
        <v>13799</v>
      </c>
      <c r="BF19" s="83">
        <v>12158</v>
      </c>
      <c r="BG19" s="83">
        <v>10937</v>
      </c>
      <c r="BH19" s="83">
        <v>9592</v>
      </c>
      <c r="BI19" s="83">
        <v>8035</v>
      </c>
      <c r="BJ19" s="83">
        <v>6850</v>
      </c>
      <c r="BK19" s="83">
        <v>5672</v>
      </c>
      <c r="BL19" s="83">
        <v>4733</v>
      </c>
      <c r="BM19" s="83">
        <v>3716</v>
      </c>
      <c r="BN19" s="83">
        <v>2445</v>
      </c>
      <c r="BO19" s="83">
        <v>1715</v>
      </c>
      <c r="BP19" s="83">
        <v>1284</v>
      </c>
      <c r="BQ19" s="83">
        <v>921</v>
      </c>
      <c r="BR19" s="83">
        <v>629</v>
      </c>
      <c r="BS19" s="83">
        <v>523</v>
      </c>
      <c r="BT19" s="83">
        <v>321</v>
      </c>
      <c r="BU19" s="83">
        <v>190</v>
      </c>
      <c r="BV19" s="83">
        <v>222</v>
      </c>
    </row>
    <row r="20" spans="1:74" x14ac:dyDescent="0.25">
      <c r="A20" s="66">
        <v>2012</v>
      </c>
      <c r="B20" s="82" t="s">
        <v>121</v>
      </c>
      <c r="D20" s="83">
        <v>56630</v>
      </c>
      <c r="E20" s="83">
        <v>56765</v>
      </c>
      <c r="F20" s="83">
        <v>57549</v>
      </c>
      <c r="G20" s="83">
        <v>55732</v>
      </c>
      <c r="H20" s="83">
        <v>55285</v>
      </c>
      <c r="I20" s="83">
        <v>55368</v>
      </c>
      <c r="J20" s="83">
        <v>54799</v>
      </c>
      <c r="K20" s="83">
        <v>54856</v>
      </c>
      <c r="L20" s="83">
        <v>56475</v>
      </c>
      <c r="M20" s="83">
        <v>56691</v>
      </c>
      <c r="N20" s="83">
        <v>58704</v>
      </c>
      <c r="O20" s="83">
        <v>60532</v>
      </c>
      <c r="P20" s="83">
        <v>61643</v>
      </c>
      <c r="Q20" s="83">
        <v>63205</v>
      </c>
      <c r="R20" s="83">
        <v>64985</v>
      </c>
      <c r="S20" s="83">
        <v>65593</v>
      </c>
      <c r="T20" s="83">
        <v>67638</v>
      </c>
      <c r="U20" s="83">
        <v>68331</v>
      </c>
      <c r="V20" s="83">
        <v>69329</v>
      </c>
      <c r="W20" s="83">
        <v>67181</v>
      </c>
      <c r="X20" s="83">
        <v>64694</v>
      </c>
      <c r="Y20" s="83">
        <v>62236</v>
      </c>
      <c r="Z20" s="83">
        <v>60671</v>
      </c>
      <c r="AA20" s="83">
        <v>58765</v>
      </c>
      <c r="AB20" s="83">
        <v>56933</v>
      </c>
      <c r="AC20" s="83">
        <v>55372</v>
      </c>
      <c r="AD20" s="83">
        <v>54030</v>
      </c>
      <c r="AE20" s="83">
        <v>51501</v>
      </c>
      <c r="AF20" s="83">
        <v>49410</v>
      </c>
      <c r="AG20" s="83">
        <v>47401</v>
      </c>
      <c r="AH20" s="83">
        <v>46713</v>
      </c>
      <c r="AI20" s="83">
        <v>44768</v>
      </c>
      <c r="AJ20" s="83">
        <v>45726</v>
      </c>
      <c r="AK20" s="83">
        <v>44312</v>
      </c>
      <c r="AL20" s="83">
        <v>44470</v>
      </c>
      <c r="AM20" s="83">
        <v>43264</v>
      </c>
      <c r="AN20" s="83">
        <v>42565</v>
      </c>
      <c r="AO20" s="83">
        <v>40746</v>
      </c>
      <c r="AP20" s="83">
        <v>39475</v>
      </c>
      <c r="AQ20" s="83">
        <v>37489</v>
      </c>
      <c r="AR20" s="83">
        <v>35525</v>
      </c>
      <c r="AS20" s="83">
        <v>32358</v>
      </c>
      <c r="AT20" s="83">
        <v>29101</v>
      </c>
      <c r="AU20" s="83">
        <v>27983</v>
      </c>
      <c r="AV20" s="83">
        <v>26542</v>
      </c>
      <c r="AW20" s="83">
        <v>24939</v>
      </c>
      <c r="AX20" s="83">
        <v>24103</v>
      </c>
      <c r="AY20" s="83">
        <v>23293</v>
      </c>
      <c r="AZ20" s="83">
        <v>21882</v>
      </c>
      <c r="BA20" s="83">
        <v>19967</v>
      </c>
      <c r="BB20" s="83">
        <v>18971</v>
      </c>
      <c r="BC20" s="83">
        <v>17401</v>
      </c>
      <c r="BD20" s="83">
        <v>16088</v>
      </c>
      <c r="BE20" s="83">
        <v>14212</v>
      </c>
      <c r="BF20" s="83">
        <v>12710</v>
      </c>
      <c r="BG20" s="83">
        <v>11072</v>
      </c>
      <c r="BH20" s="83">
        <v>9802</v>
      </c>
      <c r="BI20" s="83">
        <v>8496</v>
      </c>
      <c r="BJ20" s="83">
        <v>6983</v>
      </c>
      <c r="BK20" s="83">
        <v>5869</v>
      </c>
      <c r="BL20" s="83">
        <v>4723</v>
      </c>
      <c r="BM20" s="83">
        <v>3885</v>
      </c>
      <c r="BN20" s="83">
        <v>2914</v>
      </c>
      <c r="BO20" s="83">
        <v>1870</v>
      </c>
      <c r="BP20" s="83">
        <v>1283</v>
      </c>
      <c r="BQ20" s="83">
        <v>921</v>
      </c>
      <c r="BR20" s="83">
        <v>642</v>
      </c>
      <c r="BS20" s="83">
        <v>415</v>
      </c>
      <c r="BT20" s="83">
        <v>319</v>
      </c>
      <c r="BU20" s="83">
        <v>205</v>
      </c>
      <c r="BV20" s="83">
        <v>242</v>
      </c>
    </row>
    <row r="21" spans="1:74" x14ac:dyDescent="0.25">
      <c r="A21" s="66">
        <v>2013</v>
      </c>
      <c r="B21" s="82" t="s">
        <v>121</v>
      </c>
      <c r="D21" s="83">
        <v>56719</v>
      </c>
      <c r="E21" s="83">
        <v>57990</v>
      </c>
      <c r="F21" s="83">
        <v>58017</v>
      </c>
      <c r="G21" s="83">
        <v>58719</v>
      </c>
      <c r="H21" s="83">
        <v>56700</v>
      </c>
      <c r="I21" s="83">
        <v>56263</v>
      </c>
      <c r="J21" s="83">
        <v>56446</v>
      </c>
      <c r="K21" s="83">
        <v>55749</v>
      </c>
      <c r="L21" s="83">
        <v>55644</v>
      </c>
      <c r="M21" s="83">
        <v>57234</v>
      </c>
      <c r="N21" s="83">
        <v>57489</v>
      </c>
      <c r="O21" s="83">
        <v>59540</v>
      </c>
      <c r="P21" s="83">
        <v>61249</v>
      </c>
      <c r="Q21" s="83">
        <v>62354</v>
      </c>
      <c r="R21" s="83">
        <v>63837</v>
      </c>
      <c r="S21" s="83">
        <v>65459</v>
      </c>
      <c r="T21" s="83">
        <v>66226</v>
      </c>
      <c r="U21" s="83">
        <v>68097</v>
      </c>
      <c r="V21" s="83">
        <v>68681</v>
      </c>
      <c r="W21" s="83">
        <v>69624</v>
      </c>
      <c r="X21" s="83">
        <v>67418</v>
      </c>
      <c r="Y21" s="83">
        <v>64866</v>
      </c>
      <c r="Z21" s="83">
        <v>62388</v>
      </c>
      <c r="AA21" s="83">
        <v>60729</v>
      </c>
      <c r="AB21" s="83">
        <v>58707</v>
      </c>
      <c r="AC21" s="83">
        <v>56820</v>
      </c>
      <c r="AD21" s="83">
        <v>55266</v>
      </c>
      <c r="AE21" s="83">
        <v>53796</v>
      </c>
      <c r="AF21" s="83">
        <v>51143</v>
      </c>
      <c r="AG21" s="83">
        <v>49100</v>
      </c>
      <c r="AH21" s="83">
        <v>46886</v>
      </c>
      <c r="AI21" s="83">
        <v>46243</v>
      </c>
      <c r="AJ21" s="83">
        <v>44252</v>
      </c>
      <c r="AK21" s="83">
        <v>45156</v>
      </c>
      <c r="AL21" s="83">
        <v>43713</v>
      </c>
      <c r="AM21" s="83">
        <v>43572</v>
      </c>
      <c r="AN21" s="83">
        <v>42563</v>
      </c>
      <c r="AO21" s="83">
        <v>42018</v>
      </c>
      <c r="AP21" s="83">
        <v>40145</v>
      </c>
      <c r="AQ21" s="83">
        <v>38860</v>
      </c>
      <c r="AR21" s="83">
        <v>36839</v>
      </c>
      <c r="AS21" s="83">
        <v>34899</v>
      </c>
      <c r="AT21" s="83">
        <v>31760</v>
      </c>
      <c r="AU21" s="83">
        <v>28407</v>
      </c>
      <c r="AV21" s="83">
        <v>27274</v>
      </c>
      <c r="AW21" s="83">
        <v>25848</v>
      </c>
      <c r="AX21" s="83">
        <v>24227</v>
      </c>
      <c r="AY21" s="83">
        <v>23364</v>
      </c>
      <c r="AZ21" s="83">
        <v>22435</v>
      </c>
      <c r="BA21" s="83">
        <v>21017</v>
      </c>
      <c r="BB21" s="83">
        <v>19057</v>
      </c>
      <c r="BC21" s="83">
        <v>17970</v>
      </c>
      <c r="BD21" s="83">
        <v>16373</v>
      </c>
      <c r="BE21" s="83">
        <v>14928</v>
      </c>
      <c r="BF21" s="83">
        <v>13036</v>
      </c>
      <c r="BG21" s="83">
        <v>11596</v>
      </c>
      <c r="BH21" s="83">
        <v>9897</v>
      </c>
      <c r="BI21" s="83">
        <v>8722</v>
      </c>
      <c r="BJ21" s="83">
        <v>7412</v>
      </c>
      <c r="BK21" s="83">
        <v>5986</v>
      </c>
      <c r="BL21" s="83">
        <v>4943</v>
      </c>
      <c r="BM21" s="83">
        <v>3847</v>
      </c>
      <c r="BN21" s="83">
        <v>3092</v>
      </c>
      <c r="BO21" s="83">
        <v>2231</v>
      </c>
      <c r="BP21" s="83">
        <v>1383</v>
      </c>
      <c r="BQ21" s="83">
        <v>919</v>
      </c>
      <c r="BR21" s="83">
        <v>654</v>
      </c>
      <c r="BS21" s="83">
        <v>421</v>
      </c>
      <c r="BT21" s="83">
        <v>275</v>
      </c>
      <c r="BU21" s="83">
        <v>208</v>
      </c>
      <c r="BV21" s="83">
        <v>274</v>
      </c>
    </row>
    <row r="22" spans="1:74" x14ac:dyDescent="0.25">
      <c r="A22" s="66">
        <v>2014</v>
      </c>
      <c r="B22" s="82" t="s">
        <v>121</v>
      </c>
      <c r="D22" s="83">
        <v>58299</v>
      </c>
      <c r="E22" s="83">
        <v>58165</v>
      </c>
      <c r="F22" s="83">
        <v>59316</v>
      </c>
      <c r="G22" s="83">
        <v>59155</v>
      </c>
      <c r="H22" s="83">
        <v>59671</v>
      </c>
      <c r="I22" s="83">
        <v>57734</v>
      </c>
      <c r="J22" s="83">
        <v>57187</v>
      </c>
      <c r="K22" s="83">
        <v>57233</v>
      </c>
      <c r="L22" s="83">
        <v>56540</v>
      </c>
      <c r="M22" s="83">
        <v>56440</v>
      </c>
      <c r="N22" s="83">
        <v>58048</v>
      </c>
      <c r="O22" s="83">
        <v>58187</v>
      </c>
      <c r="P22" s="83">
        <v>60300</v>
      </c>
      <c r="Q22" s="83">
        <v>61875</v>
      </c>
      <c r="R22" s="83">
        <v>62904</v>
      </c>
      <c r="S22" s="83">
        <v>64332</v>
      </c>
      <c r="T22" s="83">
        <v>65942</v>
      </c>
      <c r="U22" s="83">
        <v>66723</v>
      </c>
      <c r="V22" s="83">
        <v>68447</v>
      </c>
      <c r="W22" s="83">
        <v>68911</v>
      </c>
      <c r="X22" s="83">
        <v>69822</v>
      </c>
      <c r="Y22" s="83">
        <v>67550</v>
      </c>
      <c r="Z22" s="83">
        <v>64959</v>
      </c>
      <c r="AA22" s="83">
        <v>62354</v>
      </c>
      <c r="AB22" s="83">
        <v>60661</v>
      </c>
      <c r="AC22" s="83">
        <v>58627</v>
      </c>
      <c r="AD22" s="83">
        <v>56638</v>
      </c>
      <c r="AE22" s="83">
        <v>55006</v>
      </c>
      <c r="AF22" s="83">
        <v>53462</v>
      </c>
      <c r="AG22" s="83">
        <v>50776</v>
      </c>
      <c r="AH22" s="83">
        <v>48483</v>
      </c>
      <c r="AI22" s="83">
        <v>46369</v>
      </c>
      <c r="AJ22" s="83">
        <v>45718</v>
      </c>
      <c r="AK22" s="83">
        <v>43666</v>
      </c>
      <c r="AL22" s="83">
        <v>44564</v>
      </c>
      <c r="AM22" s="83">
        <v>42859</v>
      </c>
      <c r="AN22" s="83">
        <v>42769</v>
      </c>
      <c r="AO22" s="83">
        <v>41939</v>
      </c>
      <c r="AP22" s="83">
        <v>41385</v>
      </c>
      <c r="AQ22" s="83">
        <v>39517</v>
      </c>
      <c r="AR22" s="83">
        <v>38191</v>
      </c>
      <c r="AS22" s="83">
        <v>36151</v>
      </c>
      <c r="AT22" s="83">
        <v>34280</v>
      </c>
      <c r="AU22" s="83">
        <v>31074</v>
      </c>
      <c r="AV22" s="83">
        <v>27783</v>
      </c>
      <c r="AW22" s="83">
        <v>26589</v>
      </c>
      <c r="AX22" s="83">
        <v>25103</v>
      </c>
      <c r="AY22" s="83">
        <v>23477</v>
      </c>
      <c r="AZ22" s="83">
        <v>22545</v>
      </c>
      <c r="BA22" s="83">
        <v>21590</v>
      </c>
      <c r="BB22" s="83">
        <v>20047</v>
      </c>
      <c r="BC22" s="83">
        <v>18045</v>
      </c>
      <c r="BD22" s="83">
        <v>16921</v>
      </c>
      <c r="BE22" s="83">
        <v>15280</v>
      </c>
      <c r="BF22" s="83">
        <v>13797</v>
      </c>
      <c r="BG22" s="83">
        <v>11961</v>
      </c>
      <c r="BH22" s="83">
        <v>10456</v>
      </c>
      <c r="BI22" s="83">
        <v>8763</v>
      </c>
      <c r="BJ22" s="83">
        <v>7632</v>
      </c>
      <c r="BK22" s="83">
        <v>6375</v>
      </c>
      <c r="BL22" s="83">
        <v>5063</v>
      </c>
      <c r="BM22" s="83">
        <v>4078</v>
      </c>
      <c r="BN22" s="83">
        <v>3090</v>
      </c>
      <c r="BO22" s="83">
        <v>2377</v>
      </c>
      <c r="BP22" s="83">
        <v>1700</v>
      </c>
      <c r="BQ22" s="83">
        <v>1014</v>
      </c>
      <c r="BR22" s="83">
        <v>650</v>
      </c>
      <c r="BS22" s="83">
        <v>439</v>
      </c>
      <c r="BT22" s="83">
        <v>277</v>
      </c>
      <c r="BU22" s="83">
        <v>194</v>
      </c>
      <c r="BV22" s="83">
        <v>290</v>
      </c>
    </row>
    <row r="23" spans="1:74" x14ac:dyDescent="0.25">
      <c r="A23" s="66">
        <v>2015</v>
      </c>
      <c r="B23" s="82" t="s">
        <v>121</v>
      </c>
      <c r="D23" s="83">
        <v>58373</v>
      </c>
      <c r="E23" s="83">
        <v>59638</v>
      </c>
      <c r="F23" s="83">
        <v>59276</v>
      </c>
      <c r="G23" s="83">
        <v>60318</v>
      </c>
      <c r="H23" s="83">
        <v>60008</v>
      </c>
      <c r="I23" s="83">
        <v>60601</v>
      </c>
      <c r="J23" s="83">
        <v>58512</v>
      </c>
      <c r="K23" s="83">
        <v>57909</v>
      </c>
      <c r="L23" s="83">
        <v>57944</v>
      </c>
      <c r="M23" s="83">
        <v>57204</v>
      </c>
      <c r="N23" s="83">
        <v>57032</v>
      </c>
      <c r="O23" s="83">
        <v>58555</v>
      </c>
      <c r="P23" s="83">
        <v>58667</v>
      </c>
      <c r="Q23" s="83">
        <v>60822</v>
      </c>
      <c r="R23" s="83">
        <v>62315</v>
      </c>
      <c r="S23" s="83">
        <v>63279</v>
      </c>
      <c r="T23" s="83">
        <v>64690</v>
      </c>
      <c r="U23" s="83">
        <v>66236</v>
      </c>
      <c r="V23" s="83">
        <v>66933</v>
      </c>
      <c r="W23" s="83">
        <v>68563</v>
      </c>
      <c r="X23" s="83">
        <v>68987</v>
      </c>
      <c r="Y23" s="83">
        <v>69838</v>
      </c>
      <c r="Z23" s="83">
        <v>67476</v>
      </c>
      <c r="AA23" s="83">
        <v>64899</v>
      </c>
      <c r="AB23" s="83">
        <v>62262</v>
      </c>
      <c r="AC23" s="83">
        <v>60499</v>
      </c>
      <c r="AD23" s="83">
        <v>58398</v>
      </c>
      <c r="AE23" s="83">
        <v>56337</v>
      </c>
      <c r="AF23" s="83">
        <v>54645</v>
      </c>
      <c r="AG23" s="83">
        <v>53034</v>
      </c>
      <c r="AH23" s="83">
        <v>50075</v>
      </c>
      <c r="AI23" s="83">
        <v>47916</v>
      </c>
      <c r="AJ23" s="83">
        <v>45814</v>
      </c>
      <c r="AK23" s="83">
        <v>45038</v>
      </c>
      <c r="AL23" s="83">
        <v>43037</v>
      </c>
      <c r="AM23" s="83">
        <v>43563</v>
      </c>
      <c r="AN23" s="83">
        <v>42140</v>
      </c>
      <c r="AO23" s="83">
        <v>42083</v>
      </c>
      <c r="AP23" s="83">
        <v>41222</v>
      </c>
      <c r="AQ23" s="83">
        <v>40665</v>
      </c>
      <c r="AR23" s="83">
        <v>38853</v>
      </c>
      <c r="AS23" s="83">
        <v>37424</v>
      </c>
      <c r="AT23" s="83">
        <v>35403</v>
      </c>
      <c r="AU23" s="83">
        <v>33504</v>
      </c>
      <c r="AV23" s="83">
        <v>30290</v>
      </c>
      <c r="AW23" s="83">
        <v>27016</v>
      </c>
      <c r="AX23" s="83">
        <v>25799</v>
      </c>
      <c r="AY23" s="83">
        <v>24264</v>
      </c>
      <c r="AZ23" s="83">
        <v>22624</v>
      </c>
      <c r="BA23" s="83">
        <v>21599</v>
      </c>
      <c r="BB23" s="83">
        <v>20594</v>
      </c>
      <c r="BC23" s="83">
        <v>18973</v>
      </c>
      <c r="BD23" s="83">
        <v>16922</v>
      </c>
      <c r="BE23" s="83">
        <v>15807</v>
      </c>
      <c r="BF23" s="83">
        <v>14107</v>
      </c>
      <c r="BG23" s="83">
        <v>12608</v>
      </c>
      <c r="BH23" s="83">
        <v>10798</v>
      </c>
      <c r="BI23" s="83">
        <v>9296</v>
      </c>
      <c r="BJ23" s="83">
        <v>7618</v>
      </c>
      <c r="BK23" s="83">
        <v>6512</v>
      </c>
      <c r="BL23" s="83">
        <v>5274</v>
      </c>
      <c r="BM23" s="83">
        <v>4134</v>
      </c>
      <c r="BN23" s="83">
        <v>3252</v>
      </c>
      <c r="BO23" s="83">
        <v>2348</v>
      </c>
      <c r="BP23" s="83">
        <v>1808</v>
      </c>
      <c r="BQ23" s="83">
        <v>1238</v>
      </c>
      <c r="BR23" s="83">
        <v>711</v>
      </c>
      <c r="BS23" s="83">
        <v>438</v>
      </c>
      <c r="BT23" s="83">
        <v>283</v>
      </c>
      <c r="BU23" s="83">
        <v>166</v>
      </c>
      <c r="BV23" s="83">
        <v>290</v>
      </c>
    </row>
    <row r="24" spans="1:74" x14ac:dyDescent="0.25">
      <c r="A24" s="66">
        <v>2016</v>
      </c>
      <c r="B24" s="82" t="s">
        <v>121</v>
      </c>
      <c r="D24" s="83">
        <v>59445</v>
      </c>
      <c r="E24" s="83">
        <v>59688</v>
      </c>
      <c r="F24" s="83">
        <v>60631</v>
      </c>
      <c r="G24" s="83">
        <v>60314</v>
      </c>
      <c r="H24" s="83">
        <v>61212</v>
      </c>
      <c r="I24" s="83">
        <v>60917</v>
      </c>
      <c r="J24" s="83">
        <v>61245</v>
      </c>
      <c r="K24" s="83">
        <v>59124</v>
      </c>
      <c r="L24" s="83">
        <v>58451</v>
      </c>
      <c r="M24" s="83">
        <v>58405</v>
      </c>
      <c r="N24" s="83">
        <v>57673</v>
      </c>
      <c r="O24" s="83">
        <v>57476</v>
      </c>
      <c r="P24" s="83">
        <v>58917</v>
      </c>
      <c r="Q24" s="83">
        <v>59049</v>
      </c>
      <c r="R24" s="83">
        <v>61121</v>
      </c>
      <c r="S24" s="83">
        <v>62556</v>
      </c>
      <c r="T24" s="83">
        <v>63479</v>
      </c>
      <c r="U24" s="83">
        <v>64860</v>
      </c>
      <c r="V24" s="83">
        <v>66348</v>
      </c>
      <c r="W24" s="83">
        <v>67031</v>
      </c>
      <c r="X24" s="83">
        <v>68562</v>
      </c>
      <c r="Y24" s="83">
        <v>68929</v>
      </c>
      <c r="Z24" s="83">
        <v>69756</v>
      </c>
      <c r="AA24" s="83">
        <v>67323</v>
      </c>
      <c r="AB24" s="83">
        <v>64622</v>
      </c>
      <c r="AC24" s="83">
        <v>61928</v>
      </c>
      <c r="AD24" s="83">
        <v>60122</v>
      </c>
      <c r="AE24" s="83">
        <v>57968</v>
      </c>
      <c r="AF24" s="83">
        <v>55875</v>
      </c>
      <c r="AG24" s="83">
        <v>54221</v>
      </c>
      <c r="AH24" s="83">
        <v>52337</v>
      </c>
      <c r="AI24" s="83">
        <v>49468</v>
      </c>
      <c r="AJ24" s="83">
        <v>47294</v>
      </c>
      <c r="AK24" s="83">
        <v>45080</v>
      </c>
      <c r="AL24" s="83">
        <v>44352</v>
      </c>
      <c r="AM24" s="83">
        <v>42006</v>
      </c>
      <c r="AN24" s="83">
        <v>42651</v>
      </c>
      <c r="AO24" s="83">
        <v>41457</v>
      </c>
      <c r="AP24" s="83">
        <v>41401</v>
      </c>
      <c r="AQ24" s="83">
        <v>40577</v>
      </c>
      <c r="AR24" s="83">
        <v>40011</v>
      </c>
      <c r="AS24" s="83">
        <v>38129</v>
      </c>
      <c r="AT24" s="83">
        <v>36639</v>
      </c>
      <c r="AU24" s="83">
        <v>34707</v>
      </c>
      <c r="AV24" s="83">
        <v>32707</v>
      </c>
      <c r="AW24" s="83">
        <v>29548</v>
      </c>
      <c r="AX24" s="83">
        <v>26195</v>
      </c>
      <c r="AY24" s="83">
        <v>24998</v>
      </c>
      <c r="AZ24" s="83">
        <v>23463</v>
      </c>
      <c r="BA24" s="83">
        <v>21821</v>
      </c>
      <c r="BB24" s="83">
        <v>20638</v>
      </c>
      <c r="BC24" s="83">
        <v>19572</v>
      </c>
      <c r="BD24" s="83">
        <v>17882</v>
      </c>
      <c r="BE24" s="83">
        <v>15847</v>
      </c>
      <c r="BF24" s="83">
        <v>14642</v>
      </c>
      <c r="BG24" s="83">
        <v>12951</v>
      </c>
      <c r="BH24" s="83">
        <v>11357</v>
      </c>
      <c r="BI24" s="83">
        <v>9636</v>
      </c>
      <c r="BJ24" s="83">
        <v>8180</v>
      </c>
      <c r="BK24" s="83">
        <v>6583</v>
      </c>
      <c r="BL24" s="83">
        <v>5458</v>
      </c>
      <c r="BM24" s="83">
        <v>4394</v>
      </c>
      <c r="BN24" s="83">
        <v>3324</v>
      </c>
      <c r="BO24" s="83">
        <v>2538</v>
      </c>
      <c r="BP24" s="83">
        <v>1803</v>
      </c>
      <c r="BQ24" s="83">
        <v>1332</v>
      </c>
      <c r="BR24" s="83">
        <v>910</v>
      </c>
      <c r="BS24" s="83">
        <v>502</v>
      </c>
      <c r="BT24" s="83">
        <v>299</v>
      </c>
      <c r="BU24" s="83">
        <v>189</v>
      </c>
      <c r="BV24" s="83">
        <v>263</v>
      </c>
    </row>
    <row r="25" spans="1:74" x14ac:dyDescent="0.25">
      <c r="A25" s="66">
        <v>2017</v>
      </c>
      <c r="B25" s="82" t="s">
        <v>121</v>
      </c>
      <c r="D25" s="83">
        <v>59635</v>
      </c>
      <c r="E25" s="83">
        <v>60388</v>
      </c>
      <c r="F25" s="83">
        <v>60519</v>
      </c>
      <c r="G25" s="83">
        <v>61249</v>
      </c>
      <c r="H25" s="83">
        <v>60814</v>
      </c>
      <c r="I25" s="83">
        <v>61828</v>
      </c>
      <c r="J25" s="83">
        <v>61448</v>
      </c>
      <c r="K25" s="83">
        <v>61685</v>
      </c>
      <c r="L25" s="83">
        <v>59470</v>
      </c>
      <c r="M25" s="83">
        <v>58883</v>
      </c>
      <c r="N25" s="83">
        <v>58801</v>
      </c>
      <c r="O25" s="83">
        <v>57902</v>
      </c>
      <c r="P25" s="83">
        <v>57734</v>
      </c>
      <c r="Q25" s="83">
        <v>59169</v>
      </c>
      <c r="R25" s="83">
        <v>59200</v>
      </c>
      <c r="S25" s="83">
        <v>61245</v>
      </c>
      <c r="T25" s="83">
        <v>62637</v>
      </c>
      <c r="U25" s="83">
        <v>63576</v>
      </c>
      <c r="V25" s="83">
        <v>64991</v>
      </c>
      <c r="W25" s="83">
        <v>66238</v>
      </c>
      <c r="X25" s="83">
        <v>66961</v>
      </c>
      <c r="Y25" s="83">
        <v>68392</v>
      </c>
      <c r="Z25" s="83">
        <v>68652</v>
      </c>
      <c r="AA25" s="83">
        <v>69525</v>
      </c>
      <c r="AB25" s="83">
        <v>66968</v>
      </c>
      <c r="AC25" s="83">
        <v>64252</v>
      </c>
      <c r="AD25" s="83">
        <v>61489</v>
      </c>
      <c r="AE25" s="83">
        <v>59713</v>
      </c>
      <c r="AF25" s="83">
        <v>57460</v>
      </c>
      <c r="AG25" s="83">
        <v>55318</v>
      </c>
      <c r="AH25" s="83">
        <v>53370</v>
      </c>
      <c r="AI25" s="83">
        <v>51601</v>
      </c>
      <c r="AJ25" s="83">
        <v>48739</v>
      </c>
      <c r="AK25" s="83">
        <v>46449</v>
      </c>
      <c r="AL25" s="83">
        <v>44271</v>
      </c>
      <c r="AM25" s="83">
        <v>43203</v>
      </c>
      <c r="AN25" s="83">
        <v>41031</v>
      </c>
      <c r="AO25" s="83">
        <v>41845</v>
      </c>
      <c r="AP25" s="83">
        <v>40691</v>
      </c>
      <c r="AQ25" s="83">
        <v>40631</v>
      </c>
      <c r="AR25" s="83">
        <v>39793</v>
      </c>
      <c r="AS25" s="83">
        <v>39228</v>
      </c>
      <c r="AT25" s="83">
        <v>37329</v>
      </c>
      <c r="AU25" s="83">
        <v>35854</v>
      </c>
      <c r="AV25" s="83">
        <v>33867</v>
      </c>
      <c r="AW25" s="83">
        <v>31821</v>
      </c>
      <c r="AX25" s="83">
        <v>28671</v>
      </c>
      <c r="AY25" s="83">
        <v>25369</v>
      </c>
      <c r="AZ25" s="83">
        <v>24119</v>
      </c>
      <c r="BA25" s="83">
        <v>22555</v>
      </c>
      <c r="BB25" s="83">
        <v>20886</v>
      </c>
      <c r="BC25" s="83">
        <v>19637</v>
      </c>
      <c r="BD25" s="83">
        <v>18413</v>
      </c>
      <c r="BE25" s="83">
        <v>16761</v>
      </c>
      <c r="BF25" s="83">
        <v>14721</v>
      </c>
      <c r="BG25" s="83">
        <v>13466</v>
      </c>
      <c r="BH25" s="83">
        <v>11738</v>
      </c>
      <c r="BI25" s="83">
        <v>10121</v>
      </c>
      <c r="BJ25" s="83">
        <v>8467</v>
      </c>
      <c r="BK25" s="83">
        <v>7007</v>
      </c>
      <c r="BL25" s="83">
        <v>5578</v>
      </c>
      <c r="BM25" s="83">
        <v>4508</v>
      </c>
      <c r="BN25" s="83">
        <v>3487</v>
      </c>
      <c r="BO25" s="83">
        <v>2568</v>
      </c>
      <c r="BP25" s="83">
        <v>1948</v>
      </c>
      <c r="BQ25" s="83">
        <v>1324</v>
      </c>
      <c r="BR25" s="83">
        <v>960</v>
      </c>
      <c r="BS25" s="83">
        <v>599</v>
      </c>
      <c r="BT25" s="83">
        <v>342</v>
      </c>
      <c r="BU25" s="83">
        <v>191</v>
      </c>
      <c r="BV25" s="83">
        <v>257</v>
      </c>
    </row>
    <row r="26" spans="1:74" x14ac:dyDescent="0.25">
      <c r="A26" s="66">
        <v>2018</v>
      </c>
      <c r="B26" s="82" t="s">
        <v>121</v>
      </c>
      <c r="D26" s="83">
        <v>61388</v>
      </c>
      <c r="E26" s="83">
        <v>60494</v>
      </c>
      <c r="F26" s="83">
        <v>61146</v>
      </c>
      <c r="G26" s="83">
        <v>61322</v>
      </c>
      <c r="H26" s="83">
        <v>61802</v>
      </c>
      <c r="I26" s="83">
        <v>61360</v>
      </c>
      <c r="J26" s="83">
        <v>62311</v>
      </c>
      <c r="K26" s="83">
        <v>61944</v>
      </c>
      <c r="L26" s="83">
        <v>61993</v>
      </c>
      <c r="M26" s="83">
        <v>59793</v>
      </c>
      <c r="N26" s="83">
        <v>59177</v>
      </c>
      <c r="O26" s="83">
        <v>59039</v>
      </c>
      <c r="P26" s="83">
        <v>58143</v>
      </c>
      <c r="Q26" s="83">
        <v>57972</v>
      </c>
      <c r="R26" s="83">
        <v>59386</v>
      </c>
      <c r="S26" s="83">
        <v>59277</v>
      </c>
      <c r="T26" s="83">
        <v>61358</v>
      </c>
      <c r="U26" s="83">
        <v>62729</v>
      </c>
      <c r="V26" s="83">
        <v>63566</v>
      </c>
      <c r="W26" s="83">
        <v>65019</v>
      </c>
      <c r="X26" s="83">
        <v>66213</v>
      </c>
      <c r="Y26" s="83">
        <v>66878</v>
      </c>
      <c r="Z26" s="83">
        <v>68161</v>
      </c>
      <c r="AA26" s="83">
        <v>68436</v>
      </c>
      <c r="AB26" s="83">
        <v>69206</v>
      </c>
      <c r="AC26" s="83">
        <v>66598</v>
      </c>
      <c r="AD26" s="83">
        <v>63840</v>
      </c>
      <c r="AE26" s="83">
        <v>61134</v>
      </c>
      <c r="AF26" s="83">
        <v>59205</v>
      </c>
      <c r="AG26" s="83">
        <v>56923</v>
      </c>
      <c r="AH26" s="83">
        <v>54371</v>
      </c>
      <c r="AI26" s="83">
        <v>52528</v>
      </c>
      <c r="AJ26" s="83">
        <v>50839</v>
      </c>
      <c r="AK26" s="83">
        <v>47854</v>
      </c>
      <c r="AL26" s="83">
        <v>45581</v>
      </c>
      <c r="AM26" s="83">
        <v>43000</v>
      </c>
      <c r="AN26" s="83">
        <v>42196</v>
      </c>
      <c r="AO26" s="83">
        <v>40292</v>
      </c>
      <c r="AP26" s="83">
        <v>41130</v>
      </c>
      <c r="AQ26" s="83">
        <v>39943</v>
      </c>
      <c r="AR26" s="83">
        <v>39833</v>
      </c>
      <c r="AS26" s="83">
        <v>39042</v>
      </c>
      <c r="AT26" s="83">
        <v>38432</v>
      </c>
      <c r="AU26" s="83">
        <v>36497</v>
      </c>
      <c r="AV26" s="83">
        <v>35044</v>
      </c>
      <c r="AW26" s="83">
        <v>32956</v>
      </c>
      <c r="AX26" s="83">
        <v>31009</v>
      </c>
      <c r="AY26" s="83">
        <v>27824</v>
      </c>
      <c r="AZ26" s="83">
        <v>24442</v>
      </c>
      <c r="BA26" s="83">
        <v>23195</v>
      </c>
      <c r="BB26" s="83">
        <v>21559</v>
      </c>
      <c r="BC26" s="83">
        <v>19839</v>
      </c>
      <c r="BD26" s="83">
        <v>18541</v>
      </c>
      <c r="BE26" s="83">
        <v>17303</v>
      </c>
      <c r="BF26" s="83">
        <v>15568</v>
      </c>
      <c r="BG26" s="83">
        <v>13541</v>
      </c>
      <c r="BH26" s="83">
        <v>12236</v>
      </c>
      <c r="BI26" s="83">
        <v>10540</v>
      </c>
      <c r="BJ26" s="83">
        <v>8995</v>
      </c>
      <c r="BK26" s="83">
        <v>7306</v>
      </c>
      <c r="BL26" s="83">
        <v>5909</v>
      </c>
      <c r="BM26" s="83">
        <v>4590</v>
      </c>
      <c r="BN26" s="83">
        <v>3612</v>
      </c>
      <c r="BO26" s="83">
        <v>2759</v>
      </c>
      <c r="BP26" s="83">
        <v>1953</v>
      </c>
      <c r="BQ26" s="83">
        <v>1470</v>
      </c>
      <c r="BR26" s="83">
        <v>935</v>
      </c>
      <c r="BS26" s="83">
        <v>666</v>
      </c>
      <c r="BT26" s="83">
        <v>405</v>
      </c>
      <c r="BU26" s="83">
        <v>232</v>
      </c>
      <c r="BV26" s="83">
        <v>257</v>
      </c>
    </row>
    <row r="27" spans="1:74" x14ac:dyDescent="0.25">
      <c r="A27" s="66">
        <v>2019</v>
      </c>
      <c r="B27" s="82" t="s">
        <v>121</v>
      </c>
      <c r="D27" s="83">
        <v>61111</v>
      </c>
      <c r="E27" s="83">
        <v>62484</v>
      </c>
      <c r="F27" s="83">
        <v>61435</v>
      </c>
      <c r="G27" s="83">
        <v>62022</v>
      </c>
      <c r="H27" s="83">
        <v>61970</v>
      </c>
      <c r="I27" s="83">
        <v>62347</v>
      </c>
      <c r="J27" s="83">
        <v>61937</v>
      </c>
      <c r="K27" s="83">
        <v>62794</v>
      </c>
      <c r="L27" s="83">
        <v>62417</v>
      </c>
      <c r="M27" s="83">
        <v>62332</v>
      </c>
      <c r="N27" s="83">
        <v>60164</v>
      </c>
      <c r="O27" s="83">
        <v>59628</v>
      </c>
      <c r="P27" s="83">
        <v>59324</v>
      </c>
      <c r="Q27" s="83">
        <v>58398</v>
      </c>
      <c r="R27" s="83">
        <v>58203</v>
      </c>
      <c r="S27" s="83">
        <v>59588</v>
      </c>
      <c r="T27" s="83">
        <v>59455</v>
      </c>
      <c r="U27" s="83">
        <v>61430</v>
      </c>
      <c r="V27" s="83">
        <v>62831</v>
      </c>
      <c r="W27" s="83">
        <v>63528</v>
      </c>
      <c r="X27" s="83">
        <v>64904</v>
      </c>
      <c r="Y27" s="83">
        <v>66106</v>
      </c>
      <c r="Z27" s="83">
        <v>66713</v>
      </c>
      <c r="AA27" s="83">
        <v>67969</v>
      </c>
      <c r="AB27" s="83">
        <v>68192</v>
      </c>
      <c r="AC27" s="83">
        <v>68796</v>
      </c>
      <c r="AD27" s="83">
        <v>66176</v>
      </c>
      <c r="AE27" s="83">
        <v>63450</v>
      </c>
      <c r="AF27" s="83">
        <v>60625</v>
      </c>
      <c r="AG27" s="83">
        <v>58629</v>
      </c>
      <c r="AH27" s="83">
        <v>55947</v>
      </c>
      <c r="AI27" s="83">
        <v>53605</v>
      </c>
      <c r="AJ27" s="83">
        <v>51746</v>
      </c>
      <c r="AK27" s="83">
        <v>49948</v>
      </c>
      <c r="AL27" s="83">
        <v>47067</v>
      </c>
      <c r="AM27" s="83">
        <v>44258</v>
      </c>
      <c r="AN27" s="83">
        <v>42058</v>
      </c>
      <c r="AO27" s="83">
        <v>41462</v>
      </c>
      <c r="AP27" s="83">
        <v>39608</v>
      </c>
      <c r="AQ27" s="83">
        <v>40458</v>
      </c>
      <c r="AR27" s="83">
        <v>39204</v>
      </c>
      <c r="AS27" s="83">
        <v>39068</v>
      </c>
      <c r="AT27" s="83">
        <v>38232</v>
      </c>
      <c r="AU27" s="83">
        <v>37524</v>
      </c>
      <c r="AV27" s="83">
        <v>35666</v>
      </c>
      <c r="AW27" s="83">
        <v>34150</v>
      </c>
      <c r="AX27" s="83">
        <v>32065</v>
      </c>
      <c r="AY27" s="83">
        <v>30068</v>
      </c>
      <c r="AZ27" s="83">
        <v>26897</v>
      </c>
      <c r="BA27" s="83">
        <v>23509</v>
      </c>
      <c r="BB27" s="83">
        <v>22206</v>
      </c>
      <c r="BC27" s="83">
        <v>20569</v>
      </c>
      <c r="BD27" s="83">
        <v>18751</v>
      </c>
      <c r="BE27" s="83">
        <v>17363</v>
      </c>
      <c r="BF27" s="83">
        <v>16089</v>
      </c>
      <c r="BG27" s="83">
        <v>14317</v>
      </c>
      <c r="BH27" s="83">
        <v>12371</v>
      </c>
      <c r="BI27" s="83">
        <v>10943</v>
      </c>
      <c r="BJ27" s="83">
        <v>9315</v>
      </c>
      <c r="BK27" s="83">
        <v>7827</v>
      </c>
      <c r="BL27" s="83">
        <v>6198</v>
      </c>
      <c r="BM27" s="83">
        <v>4931</v>
      </c>
      <c r="BN27" s="83">
        <v>3705</v>
      </c>
      <c r="BO27" s="83">
        <v>2892</v>
      </c>
      <c r="BP27" s="83">
        <v>2128</v>
      </c>
      <c r="BQ27" s="83">
        <v>1468</v>
      </c>
      <c r="BR27" s="83">
        <v>1049</v>
      </c>
      <c r="BS27" s="83">
        <v>648</v>
      </c>
      <c r="BT27" s="83">
        <v>455</v>
      </c>
      <c r="BU27" s="83">
        <v>253</v>
      </c>
      <c r="BV27" s="83">
        <v>299</v>
      </c>
    </row>
    <row r="28" spans="1:74" x14ac:dyDescent="0.25"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8"/>
      <c r="Z28" s="8"/>
      <c r="AL28" s="72"/>
      <c r="AM28" s="72"/>
      <c r="AN28" s="72"/>
      <c r="AO28" s="75"/>
      <c r="AP28" s="72"/>
      <c r="AQ28" s="72"/>
      <c r="AR28" s="72"/>
      <c r="AS28" s="72"/>
    </row>
    <row r="29" spans="1:74" x14ac:dyDescent="0.25"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8"/>
      <c r="Z29" s="8"/>
      <c r="AL29" s="72"/>
      <c r="AM29" s="72"/>
      <c r="AN29" s="72"/>
      <c r="AO29" s="75"/>
      <c r="AP29" s="72"/>
      <c r="AQ29" s="72"/>
      <c r="AR29" s="72"/>
      <c r="AS29" s="72"/>
    </row>
    <row r="30" spans="1:74" x14ac:dyDescent="0.25"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8"/>
      <c r="Z30" s="8"/>
      <c r="AL30" s="72"/>
      <c r="AM30" s="72"/>
      <c r="AN30" s="72"/>
      <c r="AO30" s="75"/>
      <c r="AP30" s="72"/>
      <c r="AQ30" s="72"/>
      <c r="AR30" s="72"/>
      <c r="AS30" s="72"/>
    </row>
    <row r="31" spans="1:74" x14ac:dyDescent="0.25">
      <c r="A31" s="102"/>
      <c r="B31" s="81"/>
      <c r="D31" s="82" t="s">
        <v>50</v>
      </c>
      <c r="E31" s="82" t="s">
        <v>51</v>
      </c>
      <c r="F31" s="82" t="s">
        <v>52</v>
      </c>
      <c r="G31" s="82" t="s">
        <v>53</v>
      </c>
      <c r="H31" s="82" t="s">
        <v>54</v>
      </c>
      <c r="I31" s="82" t="s">
        <v>55</v>
      </c>
      <c r="J31" s="82" t="s">
        <v>56</v>
      </c>
      <c r="K31" s="82" t="s">
        <v>57</v>
      </c>
      <c r="L31" s="82" t="s">
        <v>58</v>
      </c>
      <c r="M31" s="82" t="s">
        <v>59</v>
      </c>
      <c r="N31" s="82" t="s">
        <v>60</v>
      </c>
      <c r="O31" s="82" t="s">
        <v>61</v>
      </c>
      <c r="P31" s="82" t="s">
        <v>62</v>
      </c>
      <c r="Q31" s="82" t="s">
        <v>63</v>
      </c>
      <c r="R31" s="82" t="s">
        <v>64</v>
      </c>
      <c r="S31" s="82" t="s">
        <v>65</v>
      </c>
      <c r="T31" s="82" t="s">
        <v>66</v>
      </c>
      <c r="U31" s="82" t="s">
        <v>67</v>
      </c>
      <c r="V31" s="82" t="s">
        <v>68</v>
      </c>
      <c r="W31" s="82" t="s">
        <v>69</v>
      </c>
      <c r="X31" s="82" t="s">
        <v>70</v>
      </c>
      <c r="Y31" s="82" t="s">
        <v>71</v>
      </c>
      <c r="Z31" s="82" t="s">
        <v>72</v>
      </c>
      <c r="AA31" s="82" t="s">
        <v>73</v>
      </c>
      <c r="AB31" s="82" t="s">
        <v>74</v>
      </c>
      <c r="AC31" s="82" t="s">
        <v>75</v>
      </c>
      <c r="AD31" s="82" t="s">
        <v>76</v>
      </c>
      <c r="AE31" s="82" t="s">
        <v>77</v>
      </c>
      <c r="AF31" s="82" t="s">
        <v>78</v>
      </c>
      <c r="AG31" s="82" t="s">
        <v>79</v>
      </c>
      <c r="AH31" s="82" t="s">
        <v>80</v>
      </c>
      <c r="AI31" s="82" t="s">
        <v>81</v>
      </c>
      <c r="AJ31" s="82" t="s">
        <v>82</v>
      </c>
      <c r="AK31" s="82" t="s">
        <v>83</v>
      </c>
      <c r="AL31" s="82" t="s">
        <v>84</v>
      </c>
      <c r="AM31" s="82" t="s">
        <v>85</v>
      </c>
      <c r="AN31" s="82" t="s">
        <v>86</v>
      </c>
      <c r="AO31" s="82" t="s">
        <v>87</v>
      </c>
      <c r="AP31" s="82" t="s">
        <v>88</v>
      </c>
      <c r="AQ31" s="82" t="s">
        <v>89</v>
      </c>
      <c r="AR31" s="82" t="s">
        <v>90</v>
      </c>
      <c r="AS31" s="82" t="s">
        <v>91</v>
      </c>
      <c r="AT31" s="82" t="s">
        <v>92</v>
      </c>
      <c r="AU31" s="82" t="s">
        <v>93</v>
      </c>
      <c r="AV31" s="82" t="s">
        <v>94</v>
      </c>
      <c r="AW31" s="82" t="s">
        <v>95</v>
      </c>
      <c r="AX31" s="82" t="s">
        <v>96</v>
      </c>
      <c r="AY31" s="82" t="s">
        <v>97</v>
      </c>
      <c r="AZ31" s="82" t="s">
        <v>98</v>
      </c>
      <c r="BA31" s="82" t="s">
        <v>99</v>
      </c>
      <c r="BB31" s="82" t="s">
        <v>100</v>
      </c>
      <c r="BC31" s="82" t="s">
        <v>101</v>
      </c>
      <c r="BD31" s="82" t="s">
        <v>102</v>
      </c>
      <c r="BE31" s="82" t="s">
        <v>103</v>
      </c>
      <c r="BF31" s="82" t="s">
        <v>104</v>
      </c>
      <c r="BG31" s="82" t="s">
        <v>105</v>
      </c>
      <c r="BH31" s="82" t="s">
        <v>106</v>
      </c>
      <c r="BI31" s="82" t="s">
        <v>107</v>
      </c>
      <c r="BJ31" s="82" t="s">
        <v>108</v>
      </c>
      <c r="BK31" s="82" t="s">
        <v>109</v>
      </c>
      <c r="BL31" s="82" t="s">
        <v>110</v>
      </c>
      <c r="BM31" s="82" t="s">
        <v>111</v>
      </c>
      <c r="BN31" s="82" t="s">
        <v>112</v>
      </c>
      <c r="BO31" s="82" t="s">
        <v>113</v>
      </c>
      <c r="BP31" s="82" t="s">
        <v>114</v>
      </c>
      <c r="BQ31" s="82" t="s">
        <v>115</v>
      </c>
      <c r="BR31" s="82" t="s">
        <v>116</v>
      </c>
      <c r="BS31" s="82" t="s">
        <v>117</v>
      </c>
      <c r="BT31" s="82" t="s">
        <v>118</v>
      </c>
      <c r="BU31" s="82" t="s">
        <v>119</v>
      </c>
      <c r="BV31" s="82" t="s">
        <v>120</v>
      </c>
    </row>
    <row r="32" spans="1:74" x14ac:dyDescent="0.25">
      <c r="A32" s="66">
        <v>2010</v>
      </c>
      <c r="B32" s="82" t="s">
        <v>122</v>
      </c>
      <c r="D32" s="83">
        <v>53953</v>
      </c>
      <c r="E32" s="83">
        <v>53315</v>
      </c>
      <c r="F32" s="83">
        <v>52681</v>
      </c>
      <c r="G32" s="83">
        <v>52948</v>
      </c>
      <c r="H32" s="83">
        <v>53273</v>
      </c>
      <c r="I32" s="83">
        <v>53117</v>
      </c>
      <c r="J32" s="83">
        <v>54477</v>
      </c>
      <c r="K32" s="83">
        <v>55129</v>
      </c>
      <c r="L32" s="83">
        <v>56806</v>
      </c>
      <c r="M32" s="83">
        <v>59304</v>
      </c>
      <c r="N32" s="83">
        <v>60128</v>
      </c>
      <c r="O32" s="83">
        <v>62263</v>
      </c>
      <c r="P32" s="83">
        <v>63705</v>
      </c>
      <c r="Q32" s="83">
        <v>64404</v>
      </c>
      <c r="R32" s="83">
        <v>65484</v>
      </c>
      <c r="S32" s="83">
        <v>65514</v>
      </c>
      <c r="T32" s="83">
        <v>66769</v>
      </c>
      <c r="U32" s="83">
        <v>65175</v>
      </c>
      <c r="V32" s="83">
        <v>62720</v>
      </c>
      <c r="W32" s="83">
        <v>60991</v>
      </c>
      <c r="X32" s="83">
        <v>59403</v>
      </c>
      <c r="Y32" s="83">
        <v>57878</v>
      </c>
      <c r="Z32" s="83">
        <v>55471</v>
      </c>
      <c r="AA32" s="83">
        <v>54352</v>
      </c>
      <c r="AB32" s="83">
        <v>52523</v>
      </c>
      <c r="AC32" s="83">
        <v>50890</v>
      </c>
      <c r="AD32" s="83">
        <v>49810</v>
      </c>
      <c r="AE32" s="83">
        <v>48426</v>
      </c>
      <c r="AF32" s="83">
        <v>48133</v>
      </c>
      <c r="AG32" s="83">
        <v>46103</v>
      </c>
      <c r="AH32" s="83">
        <v>47166</v>
      </c>
      <c r="AI32" s="83">
        <v>46618</v>
      </c>
      <c r="AJ32" s="83">
        <v>47205</v>
      </c>
      <c r="AK32" s="83">
        <v>46116</v>
      </c>
      <c r="AL32" s="83">
        <v>45891</v>
      </c>
      <c r="AM32" s="83">
        <v>43451</v>
      </c>
      <c r="AN32" s="83">
        <v>43078</v>
      </c>
      <c r="AO32" s="83">
        <v>41714</v>
      </c>
      <c r="AP32" s="83">
        <v>39646</v>
      </c>
      <c r="AQ32" s="83">
        <v>37442</v>
      </c>
      <c r="AR32" s="83">
        <v>34885</v>
      </c>
      <c r="AS32" s="83">
        <v>33881</v>
      </c>
      <c r="AT32" s="83">
        <v>32758</v>
      </c>
      <c r="AU32" s="83">
        <v>31291</v>
      </c>
      <c r="AV32" s="83">
        <v>31525</v>
      </c>
      <c r="AW32" s="83">
        <v>30956</v>
      </c>
      <c r="AX32" s="83">
        <v>30018</v>
      </c>
      <c r="AY32" s="83">
        <v>29030</v>
      </c>
      <c r="AZ32" s="83">
        <v>28362</v>
      </c>
      <c r="BA32" s="83">
        <v>27262</v>
      </c>
      <c r="BB32" s="83">
        <v>26940</v>
      </c>
      <c r="BC32" s="83">
        <v>25403</v>
      </c>
      <c r="BD32" s="83">
        <v>23912</v>
      </c>
      <c r="BE32" s="83">
        <v>22236</v>
      </c>
      <c r="BF32" s="83">
        <v>21268</v>
      </c>
      <c r="BG32" s="83">
        <v>19721</v>
      </c>
      <c r="BH32" s="83">
        <v>18024</v>
      </c>
      <c r="BI32" s="83">
        <v>16117</v>
      </c>
      <c r="BJ32" s="83">
        <v>14105</v>
      </c>
      <c r="BK32" s="83">
        <v>12764</v>
      </c>
      <c r="BL32" s="83">
        <v>10517</v>
      </c>
      <c r="BM32" s="83">
        <v>7535</v>
      </c>
      <c r="BN32" s="83">
        <v>5867</v>
      </c>
      <c r="BO32" s="83">
        <v>4862</v>
      </c>
      <c r="BP32" s="83">
        <v>3742</v>
      </c>
      <c r="BQ32" s="83">
        <v>2880</v>
      </c>
      <c r="BR32" s="83">
        <v>2337</v>
      </c>
      <c r="BS32" s="83">
        <v>1656</v>
      </c>
      <c r="BT32" s="83">
        <v>1115</v>
      </c>
      <c r="BU32" s="83">
        <v>739</v>
      </c>
      <c r="BV32" s="83">
        <v>1114</v>
      </c>
    </row>
    <row r="33" spans="1:74" x14ac:dyDescent="0.25">
      <c r="A33" s="66">
        <v>2011</v>
      </c>
      <c r="B33" s="82" t="s">
        <v>122</v>
      </c>
      <c r="D33" s="83">
        <v>54558</v>
      </c>
      <c r="E33" s="83">
        <v>55120</v>
      </c>
      <c r="F33" s="83">
        <v>54343</v>
      </c>
      <c r="G33" s="83">
        <v>53574</v>
      </c>
      <c r="H33" s="83">
        <v>53858</v>
      </c>
      <c r="I33" s="83">
        <v>54119</v>
      </c>
      <c r="J33" s="83">
        <v>53805</v>
      </c>
      <c r="K33" s="83">
        <v>55203</v>
      </c>
      <c r="L33" s="83">
        <v>55677</v>
      </c>
      <c r="M33" s="83">
        <v>57339</v>
      </c>
      <c r="N33" s="83">
        <v>59771</v>
      </c>
      <c r="O33" s="83">
        <v>60630</v>
      </c>
      <c r="P33" s="83">
        <v>62590</v>
      </c>
      <c r="Q33" s="83">
        <v>64059</v>
      </c>
      <c r="R33" s="83">
        <v>64704</v>
      </c>
      <c r="S33" s="83">
        <v>65759</v>
      </c>
      <c r="T33" s="83">
        <v>65719</v>
      </c>
      <c r="U33" s="83">
        <v>66983</v>
      </c>
      <c r="V33" s="83">
        <v>65310</v>
      </c>
      <c r="W33" s="83">
        <v>62884</v>
      </c>
      <c r="X33" s="83">
        <v>61080</v>
      </c>
      <c r="Y33" s="83">
        <v>59469</v>
      </c>
      <c r="Z33" s="83">
        <v>57870</v>
      </c>
      <c r="AA33" s="83">
        <v>55417</v>
      </c>
      <c r="AB33" s="83">
        <v>54264</v>
      </c>
      <c r="AC33" s="83">
        <v>52411</v>
      </c>
      <c r="AD33" s="83">
        <v>50726</v>
      </c>
      <c r="AE33" s="83">
        <v>49634</v>
      </c>
      <c r="AF33" s="83">
        <v>48178</v>
      </c>
      <c r="AG33" s="83">
        <v>47921</v>
      </c>
      <c r="AH33" s="83">
        <v>45853</v>
      </c>
      <c r="AI33" s="83">
        <v>46894</v>
      </c>
      <c r="AJ33" s="83">
        <v>46288</v>
      </c>
      <c r="AK33" s="83">
        <v>46864</v>
      </c>
      <c r="AL33" s="83">
        <v>45753</v>
      </c>
      <c r="AM33" s="83">
        <v>45495</v>
      </c>
      <c r="AN33" s="83">
        <v>43095</v>
      </c>
      <c r="AO33" s="83">
        <v>42751</v>
      </c>
      <c r="AP33" s="83">
        <v>41370</v>
      </c>
      <c r="AQ33" s="83">
        <v>39298</v>
      </c>
      <c r="AR33" s="83">
        <v>37115</v>
      </c>
      <c r="AS33" s="83">
        <v>34507</v>
      </c>
      <c r="AT33" s="83">
        <v>33533</v>
      </c>
      <c r="AU33" s="83">
        <v>32355</v>
      </c>
      <c r="AV33" s="83">
        <v>30899</v>
      </c>
      <c r="AW33" s="83">
        <v>31019</v>
      </c>
      <c r="AX33" s="83">
        <v>30404</v>
      </c>
      <c r="AY33" s="83">
        <v>29429</v>
      </c>
      <c r="AZ33" s="83">
        <v>28401</v>
      </c>
      <c r="BA33" s="83">
        <v>27624</v>
      </c>
      <c r="BB33" s="83">
        <v>26422</v>
      </c>
      <c r="BC33" s="83">
        <v>26040</v>
      </c>
      <c r="BD33" s="83">
        <v>24433</v>
      </c>
      <c r="BE33" s="83">
        <v>22764</v>
      </c>
      <c r="BF33" s="83">
        <v>21083</v>
      </c>
      <c r="BG33" s="83">
        <v>19921</v>
      </c>
      <c r="BH33" s="83">
        <v>18291</v>
      </c>
      <c r="BI33" s="83">
        <v>16490</v>
      </c>
      <c r="BJ33" s="83">
        <v>14582</v>
      </c>
      <c r="BK33" s="83">
        <v>12654</v>
      </c>
      <c r="BL33" s="83">
        <v>11159</v>
      </c>
      <c r="BM33" s="83">
        <v>8957</v>
      </c>
      <c r="BN33" s="83">
        <v>6337</v>
      </c>
      <c r="BO33" s="83">
        <v>4826</v>
      </c>
      <c r="BP33" s="83">
        <v>3886</v>
      </c>
      <c r="BQ33" s="83">
        <v>2960</v>
      </c>
      <c r="BR33" s="83">
        <v>2174</v>
      </c>
      <c r="BS33" s="83">
        <v>1696</v>
      </c>
      <c r="BT33" s="83">
        <v>1163</v>
      </c>
      <c r="BU33" s="83">
        <v>742</v>
      </c>
      <c r="BV33" s="83">
        <v>1179</v>
      </c>
    </row>
    <row r="34" spans="1:74" x14ac:dyDescent="0.25">
      <c r="A34" s="66">
        <v>2012</v>
      </c>
      <c r="B34" s="82" t="s">
        <v>122</v>
      </c>
      <c r="D34" s="83">
        <v>55733</v>
      </c>
      <c r="E34" s="83">
        <v>55760</v>
      </c>
      <c r="F34" s="83">
        <v>56053</v>
      </c>
      <c r="G34" s="83">
        <v>55159</v>
      </c>
      <c r="H34" s="83">
        <v>54495</v>
      </c>
      <c r="I34" s="83">
        <v>54634</v>
      </c>
      <c r="J34" s="83">
        <v>54825</v>
      </c>
      <c r="K34" s="83">
        <v>54469</v>
      </c>
      <c r="L34" s="83">
        <v>55759</v>
      </c>
      <c r="M34" s="83">
        <v>56210</v>
      </c>
      <c r="N34" s="83">
        <v>57761</v>
      </c>
      <c r="O34" s="83">
        <v>60199</v>
      </c>
      <c r="P34" s="83">
        <v>61034</v>
      </c>
      <c r="Q34" s="83">
        <v>63031</v>
      </c>
      <c r="R34" s="83">
        <v>64397</v>
      </c>
      <c r="S34" s="83">
        <v>65044</v>
      </c>
      <c r="T34" s="83">
        <v>66043</v>
      </c>
      <c r="U34" s="83">
        <v>65976</v>
      </c>
      <c r="V34" s="83">
        <v>67141</v>
      </c>
      <c r="W34" s="83">
        <v>65433</v>
      </c>
      <c r="X34" s="83">
        <v>62936</v>
      </c>
      <c r="Y34" s="83">
        <v>61118</v>
      </c>
      <c r="Z34" s="83">
        <v>59457</v>
      </c>
      <c r="AA34" s="83">
        <v>57851</v>
      </c>
      <c r="AB34" s="83">
        <v>55337</v>
      </c>
      <c r="AC34" s="83">
        <v>54169</v>
      </c>
      <c r="AD34" s="83">
        <v>52254</v>
      </c>
      <c r="AE34" s="83">
        <v>50552</v>
      </c>
      <c r="AF34" s="83">
        <v>49403</v>
      </c>
      <c r="AG34" s="83">
        <v>48028</v>
      </c>
      <c r="AH34" s="83">
        <v>47633</v>
      </c>
      <c r="AI34" s="83">
        <v>45600</v>
      </c>
      <c r="AJ34" s="83">
        <v>46605</v>
      </c>
      <c r="AK34" s="83">
        <v>45973</v>
      </c>
      <c r="AL34" s="83">
        <v>46424</v>
      </c>
      <c r="AM34" s="83">
        <v>45347</v>
      </c>
      <c r="AN34" s="83">
        <v>45153</v>
      </c>
      <c r="AO34" s="83">
        <v>42742</v>
      </c>
      <c r="AP34" s="83">
        <v>42406</v>
      </c>
      <c r="AQ34" s="83">
        <v>40978</v>
      </c>
      <c r="AR34" s="83">
        <v>38896</v>
      </c>
      <c r="AS34" s="83">
        <v>36782</v>
      </c>
      <c r="AT34" s="83">
        <v>34135</v>
      </c>
      <c r="AU34" s="83">
        <v>33105</v>
      </c>
      <c r="AV34" s="83">
        <v>31929</v>
      </c>
      <c r="AW34" s="83">
        <v>30460</v>
      </c>
      <c r="AX34" s="83">
        <v>30503</v>
      </c>
      <c r="AY34" s="83">
        <v>29809</v>
      </c>
      <c r="AZ34" s="83">
        <v>28806</v>
      </c>
      <c r="BA34" s="83">
        <v>27672</v>
      </c>
      <c r="BB34" s="83">
        <v>26831</v>
      </c>
      <c r="BC34" s="83">
        <v>25503</v>
      </c>
      <c r="BD34" s="83">
        <v>25003</v>
      </c>
      <c r="BE34" s="83">
        <v>23207</v>
      </c>
      <c r="BF34" s="83">
        <v>21518</v>
      </c>
      <c r="BG34" s="83">
        <v>19741</v>
      </c>
      <c r="BH34" s="83">
        <v>18459</v>
      </c>
      <c r="BI34" s="83">
        <v>16705</v>
      </c>
      <c r="BJ34" s="83">
        <v>14929</v>
      </c>
      <c r="BK34" s="83">
        <v>12946</v>
      </c>
      <c r="BL34" s="83">
        <v>10994</v>
      </c>
      <c r="BM34" s="83">
        <v>9526</v>
      </c>
      <c r="BN34" s="83">
        <v>7485</v>
      </c>
      <c r="BO34" s="83">
        <v>5156</v>
      </c>
      <c r="BP34" s="83">
        <v>3842</v>
      </c>
      <c r="BQ34" s="83">
        <v>2970</v>
      </c>
      <c r="BR34" s="83">
        <v>2183</v>
      </c>
      <c r="BS34" s="83">
        <v>1547</v>
      </c>
      <c r="BT34" s="83">
        <v>1181</v>
      </c>
      <c r="BU34" s="83">
        <v>747</v>
      </c>
      <c r="BV34" s="83">
        <v>1167</v>
      </c>
    </row>
    <row r="35" spans="1:74" x14ac:dyDescent="0.25">
      <c r="A35" s="66">
        <v>2013</v>
      </c>
      <c r="B35" s="82" t="s">
        <v>122</v>
      </c>
      <c r="D35" s="83">
        <v>55323</v>
      </c>
      <c r="E35" s="83">
        <v>57102</v>
      </c>
      <c r="F35" s="83">
        <v>56924</v>
      </c>
      <c r="G35" s="83">
        <v>57141</v>
      </c>
      <c r="H35" s="83">
        <v>56099</v>
      </c>
      <c r="I35" s="83">
        <v>55440</v>
      </c>
      <c r="J35" s="83">
        <v>55518</v>
      </c>
      <c r="K35" s="83">
        <v>55663</v>
      </c>
      <c r="L35" s="83">
        <v>55197</v>
      </c>
      <c r="M35" s="83">
        <v>56417</v>
      </c>
      <c r="N35" s="83">
        <v>56869</v>
      </c>
      <c r="O35" s="83">
        <v>58281</v>
      </c>
      <c r="P35" s="83">
        <v>60737</v>
      </c>
      <c r="Q35" s="83">
        <v>61537</v>
      </c>
      <c r="R35" s="83">
        <v>63418</v>
      </c>
      <c r="S35" s="83">
        <v>64796</v>
      </c>
      <c r="T35" s="83">
        <v>65406</v>
      </c>
      <c r="U35" s="83">
        <v>66348</v>
      </c>
      <c r="V35" s="83">
        <v>66256</v>
      </c>
      <c r="W35" s="83">
        <v>67361</v>
      </c>
      <c r="X35" s="83">
        <v>65637</v>
      </c>
      <c r="Y35" s="83">
        <v>63096</v>
      </c>
      <c r="Z35" s="83">
        <v>61267</v>
      </c>
      <c r="AA35" s="83">
        <v>59564</v>
      </c>
      <c r="AB35" s="83">
        <v>57801</v>
      </c>
      <c r="AC35" s="83">
        <v>55271</v>
      </c>
      <c r="AD35" s="83">
        <v>54111</v>
      </c>
      <c r="AE35" s="83">
        <v>52091</v>
      </c>
      <c r="AF35" s="83">
        <v>50348</v>
      </c>
      <c r="AG35" s="83">
        <v>49202</v>
      </c>
      <c r="AH35" s="83">
        <v>47801</v>
      </c>
      <c r="AI35" s="83">
        <v>47356</v>
      </c>
      <c r="AJ35" s="83">
        <v>45331</v>
      </c>
      <c r="AK35" s="83">
        <v>46370</v>
      </c>
      <c r="AL35" s="83">
        <v>45606</v>
      </c>
      <c r="AM35" s="83">
        <v>45989</v>
      </c>
      <c r="AN35" s="83">
        <v>45006</v>
      </c>
      <c r="AO35" s="83">
        <v>44838</v>
      </c>
      <c r="AP35" s="83">
        <v>42392</v>
      </c>
      <c r="AQ35" s="83">
        <v>42043</v>
      </c>
      <c r="AR35" s="83">
        <v>40613</v>
      </c>
      <c r="AS35" s="83">
        <v>38500</v>
      </c>
      <c r="AT35" s="83">
        <v>36380</v>
      </c>
      <c r="AU35" s="83">
        <v>33728</v>
      </c>
      <c r="AV35" s="83">
        <v>32672</v>
      </c>
      <c r="AW35" s="83">
        <v>31484</v>
      </c>
      <c r="AX35" s="83">
        <v>29999</v>
      </c>
      <c r="AY35" s="83">
        <v>29883</v>
      </c>
      <c r="AZ35" s="83">
        <v>29140</v>
      </c>
      <c r="BA35" s="83">
        <v>28131</v>
      </c>
      <c r="BB35" s="83">
        <v>26890</v>
      </c>
      <c r="BC35" s="83">
        <v>25929</v>
      </c>
      <c r="BD35" s="83">
        <v>24497</v>
      </c>
      <c r="BE35" s="83">
        <v>23860</v>
      </c>
      <c r="BF35" s="83">
        <v>22013</v>
      </c>
      <c r="BG35" s="83">
        <v>20197</v>
      </c>
      <c r="BH35" s="83">
        <v>18261</v>
      </c>
      <c r="BI35" s="83">
        <v>16901</v>
      </c>
      <c r="BJ35" s="83">
        <v>15082</v>
      </c>
      <c r="BK35" s="83">
        <v>13285</v>
      </c>
      <c r="BL35" s="83">
        <v>11260</v>
      </c>
      <c r="BM35" s="83">
        <v>9388</v>
      </c>
      <c r="BN35" s="83">
        <v>7988</v>
      </c>
      <c r="BO35" s="83">
        <v>6022</v>
      </c>
      <c r="BP35" s="83">
        <v>4056</v>
      </c>
      <c r="BQ35" s="83">
        <v>2959</v>
      </c>
      <c r="BR35" s="83">
        <v>2190</v>
      </c>
      <c r="BS35" s="83">
        <v>1619</v>
      </c>
      <c r="BT35" s="83">
        <v>1073</v>
      </c>
      <c r="BU35" s="83">
        <v>806</v>
      </c>
      <c r="BV35" s="83">
        <v>1221</v>
      </c>
    </row>
    <row r="36" spans="1:74" x14ac:dyDescent="0.25">
      <c r="A36" s="66">
        <v>2014</v>
      </c>
      <c r="B36" s="82" t="s">
        <v>122</v>
      </c>
      <c r="D36" s="83">
        <v>56764</v>
      </c>
      <c r="E36" s="83">
        <v>56631</v>
      </c>
      <c r="F36" s="83">
        <v>58304</v>
      </c>
      <c r="G36" s="83">
        <v>58011</v>
      </c>
      <c r="H36" s="83">
        <v>58132</v>
      </c>
      <c r="I36" s="83">
        <v>56912</v>
      </c>
      <c r="J36" s="83">
        <v>56221</v>
      </c>
      <c r="K36" s="83">
        <v>56287</v>
      </c>
      <c r="L36" s="83">
        <v>56289</v>
      </c>
      <c r="M36" s="83">
        <v>55877</v>
      </c>
      <c r="N36" s="83">
        <v>56921</v>
      </c>
      <c r="O36" s="83">
        <v>57440</v>
      </c>
      <c r="P36" s="83">
        <v>58865</v>
      </c>
      <c r="Q36" s="83">
        <v>61241</v>
      </c>
      <c r="R36" s="83">
        <v>61979</v>
      </c>
      <c r="S36" s="83">
        <v>63808</v>
      </c>
      <c r="T36" s="83">
        <v>65132</v>
      </c>
      <c r="U36" s="83">
        <v>65625</v>
      </c>
      <c r="V36" s="83">
        <v>66710</v>
      </c>
      <c r="W36" s="83">
        <v>66470</v>
      </c>
      <c r="X36" s="83">
        <v>67563</v>
      </c>
      <c r="Y36" s="83">
        <v>65773</v>
      </c>
      <c r="Z36" s="83">
        <v>63167</v>
      </c>
      <c r="AA36" s="83">
        <v>61258</v>
      </c>
      <c r="AB36" s="83">
        <v>59508</v>
      </c>
      <c r="AC36" s="83">
        <v>57728</v>
      </c>
      <c r="AD36" s="83">
        <v>55197</v>
      </c>
      <c r="AE36" s="83">
        <v>53922</v>
      </c>
      <c r="AF36" s="83">
        <v>51933</v>
      </c>
      <c r="AG36" s="83">
        <v>50174</v>
      </c>
      <c r="AH36" s="83">
        <v>48991</v>
      </c>
      <c r="AI36" s="83">
        <v>47589</v>
      </c>
      <c r="AJ36" s="83">
        <v>47072</v>
      </c>
      <c r="AK36" s="83">
        <v>45063</v>
      </c>
      <c r="AL36" s="83">
        <v>45971</v>
      </c>
      <c r="AM36" s="83">
        <v>45223</v>
      </c>
      <c r="AN36" s="83">
        <v>45642</v>
      </c>
      <c r="AO36" s="83">
        <v>44687</v>
      </c>
      <c r="AP36" s="83">
        <v>44477</v>
      </c>
      <c r="AQ36" s="83">
        <v>42058</v>
      </c>
      <c r="AR36" s="83">
        <v>41669</v>
      </c>
      <c r="AS36" s="83">
        <v>40252</v>
      </c>
      <c r="AT36" s="83">
        <v>38079</v>
      </c>
      <c r="AU36" s="83">
        <v>35944</v>
      </c>
      <c r="AV36" s="83">
        <v>33303</v>
      </c>
      <c r="AW36" s="83">
        <v>32182</v>
      </c>
      <c r="AX36" s="83">
        <v>30975</v>
      </c>
      <c r="AY36" s="83">
        <v>29447</v>
      </c>
      <c r="AZ36" s="83">
        <v>29214</v>
      </c>
      <c r="BA36" s="83">
        <v>28460</v>
      </c>
      <c r="BB36" s="83">
        <v>27341</v>
      </c>
      <c r="BC36" s="83">
        <v>26003</v>
      </c>
      <c r="BD36" s="83">
        <v>24936</v>
      </c>
      <c r="BE36" s="83">
        <v>23457</v>
      </c>
      <c r="BF36" s="83">
        <v>22674</v>
      </c>
      <c r="BG36" s="83">
        <v>20669</v>
      </c>
      <c r="BH36" s="83">
        <v>18827</v>
      </c>
      <c r="BI36" s="83">
        <v>16771</v>
      </c>
      <c r="BJ36" s="83">
        <v>15342</v>
      </c>
      <c r="BK36" s="83">
        <v>13358</v>
      </c>
      <c r="BL36" s="83">
        <v>11703</v>
      </c>
      <c r="BM36" s="83">
        <v>9694</v>
      </c>
      <c r="BN36" s="83">
        <v>7893</v>
      </c>
      <c r="BO36" s="83">
        <v>6605</v>
      </c>
      <c r="BP36" s="83">
        <v>4833</v>
      </c>
      <c r="BQ36" s="83">
        <v>3170</v>
      </c>
      <c r="BR36" s="83">
        <v>2251</v>
      </c>
      <c r="BS36" s="83">
        <v>1577</v>
      </c>
      <c r="BT36" s="83">
        <v>1153</v>
      </c>
      <c r="BU36" s="83">
        <v>742</v>
      </c>
      <c r="BV36" s="83">
        <v>1253</v>
      </c>
    </row>
    <row r="37" spans="1:74" x14ac:dyDescent="0.25">
      <c r="A37" s="66">
        <v>2015</v>
      </c>
      <c r="B37" s="82" t="s">
        <v>122</v>
      </c>
      <c r="D37" s="83">
        <v>57729</v>
      </c>
      <c r="E37" s="83">
        <v>58072</v>
      </c>
      <c r="F37" s="83">
        <v>57660</v>
      </c>
      <c r="G37" s="83">
        <v>59264</v>
      </c>
      <c r="H37" s="83">
        <v>58946</v>
      </c>
      <c r="I37" s="83">
        <v>58883</v>
      </c>
      <c r="J37" s="83">
        <v>57573</v>
      </c>
      <c r="K37" s="83">
        <v>56914</v>
      </c>
      <c r="L37" s="83">
        <v>56831</v>
      </c>
      <c r="M37" s="83">
        <v>56839</v>
      </c>
      <c r="N37" s="83">
        <v>56429</v>
      </c>
      <c r="O37" s="83">
        <v>57505</v>
      </c>
      <c r="P37" s="83">
        <v>57929</v>
      </c>
      <c r="Q37" s="83">
        <v>59300</v>
      </c>
      <c r="R37" s="83">
        <v>61613</v>
      </c>
      <c r="S37" s="83">
        <v>62314</v>
      </c>
      <c r="T37" s="83">
        <v>64108</v>
      </c>
      <c r="U37" s="83">
        <v>65417</v>
      </c>
      <c r="V37" s="83">
        <v>65854</v>
      </c>
      <c r="W37" s="83">
        <v>66851</v>
      </c>
      <c r="X37" s="83">
        <v>66566</v>
      </c>
      <c r="Y37" s="83">
        <v>67719</v>
      </c>
      <c r="Z37" s="83">
        <v>65727</v>
      </c>
      <c r="AA37" s="83">
        <v>63127</v>
      </c>
      <c r="AB37" s="83">
        <v>61173</v>
      </c>
      <c r="AC37" s="83">
        <v>59392</v>
      </c>
      <c r="AD37" s="83">
        <v>57587</v>
      </c>
      <c r="AE37" s="83">
        <v>55041</v>
      </c>
      <c r="AF37" s="83">
        <v>53683</v>
      </c>
      <c r="AG37" s="83">
        <v>51661</v>
      </c>
      <c r="AH37" s="83">
        <v>49859</v>
      </c>
      <c r="AI37" s="83">
        <v>48702</v>
      </c>
      <c r="AJ37" s="83">
        <v>47217</v>
      </c>
      <c r="AK37" s="83">
        <v>46721</v>
      </c>
      <c r="AL37" s="83">
        <v>44600</v>
      </c>
      <c r="AM37" s="83">
        <v>45518</v>
      </c>
      <c r="AN37" s="83">
        <v>44759</v>
      </c>
      <c r="AO37" s="83">
        <v>45237</v>
      </c>
      <c r="AP37" s="83">
        <v>44312</v>
      </c>
      <c r="AQ37" s="83">
        <v>44094</v>
      </c>
      <c r="AR37" s="83">
        <v>41702</v>
      </c>
      <c r="AS37" s="83">
        <v>41224</v>
      </c>
      <c r="AT37" s="83">
        <v>39783</v>
      </c>
      <c r="AU37" s="83">
        <v>37650</v>
      </c>
      <c r="AV37" s="83">
        <v>35416</v>
      </c>
      <c r="AW37" s="83">
        <v>32824</v>
      </c>
      <c r="AX37" s="83">
        <v>31591</v>
      </c>
      <c r="AY37" s="83">
        <v>30335</v>
      </c>
      <c r="AZ37" s="83">
        <v>28807</v>
      </c>
      <c r="BA37" s="83">
        <v>28484</v>
      </c>
      <c r="BB37" s="83">
        <v>27660</v>
      </c>
      <c r="BC37" s="83">
        <v>26397</v>
      </c>
      <c r="BD37" s="83">
        <v>25060</v>
      </c>
      <c r="BE37" s="83">
        <v>23783</v>
      </c>
      <c r="BF37" s="83">
        <v>22200</v>
      </c>
      <c r="BG37" s="83">
        <v>21358</v>
      </c>
      <c r="BH37" s="83">
        <v>19149</v>
      </c>
      <c r="BI37" s="83">
        <v>17264</v>
      </c>
      <c r="BJ37" s="83">
        <v>15149</v>
      </c>
      <c r="BK37" s="83">
        <v>13641</v>
      </c>
      <c r="BL37" s="83">
        <v>11690</v>
      </c>
      <c r="BM37" s="83">
        <v>9969</v>
      </c>
      <c r="BN37" s="83">
        <v>8097</v>
      </c>
      <c r="BO37" s="83">
        <v>6356</v>
      </c>
      <c r="BP37" s="83">
        <v>5217</v>
      </c>
      <c r="BQ37" s="83">
        <v>3660</v>
      </c>
      <c r="BR37" s="83">
        <v>2320</v>
      </c>
      <c r="BS37" s="83">
        <v>1603</v>
      </c>
      <c r="BT37" s="83">
        <v>1085</v>
      </c>
      <c r="BU37" s="83">
        <v>760</v>
      </c>
      <c r="BV37" s="83">
        <v>1272</v>
      </c>
    </row>
    <row r="38" spans="1:74" x14ac:dyDescent="0.25">
      <c r="A38" s="66">
        <v>2016</v>
      </c>
      <c r="B38" s="82" t="s">
        <v>122</v>
      </c>
      <c r="D38" s="83">
        <v>58446</v>
      </c>
      <c r="E38" s="83">
        <v>58753</v>
      </c>
      <c r="F38" s="83">
        <v>59140</v>
      </c>
      <c r="G38" s="83">
        <v>58545</v>
      </c>
      <c r="H38" s="83">
        <v>59926</v>
      </c>
      <c r="I38" s="83">
        <v>59542</v>
      </c>
      <c r="J38" s="83">
        <v>59578</v>
      </c>
      <c r="K38" s="83">
        <v>58251</v>
      </c>
      <c r="L38" s="83">
        <v>57442</v>
      </c>
      <c r="M38" s="83">
        <v>57384</v>
      </c>
      <c r="N38" s="83">
        <v>57289</v>
      </c>
      <c r="O38" s="83">
        <v>56852</v>
      </c>
      <c r="P38" s="83">
        <v>57856</v>
      </c>
      <c r="Q38" s="83">
        <v>58381</v>
      </c>
      <c r="R38" s="83">
        <v>59616</v>
      </c>
      <c r="S38" s="83">
        <v>61899</v>
      </c>
      <c r="T38" s="83">
        <v>62577</v>
      </c>
      <c r="U38" s="83">
        <v>64340</v>
      </c>
      <c r="V38" s="83">
        <v>65575</v>
      </c>
      <c r="W38" s="83">
        <v>66014</v>
      </c>
      <c r="X38" s="83">
        <v>66876</v>
      </c>
      <c r="Y38" s="83">
        <v>66613</v>
      </c>
      <c r="Z38" s="83">
        <v>67724</v>
      </c>
      <c r="AA38" s="83">
        <v>65639</v>
      </c>
      <c r="AB38" s="83">
        <v>62997</v>
      </c>
      <c r="AC38" s="83">
        <v>61062</v>
      </c>
      <c r="AD38" s="83">
        <v>59191</v>
      </c>
      <c r="AE38" s="83">
        <v>57357</v>
      </c>
      <c r="AF38" s="83">
        <v>54715</v>
      </c>
      <c r="AG38" s="83">
        <v>53373</v>
      </c>
      <c r="AH38" s="83">
        <v>51358</v>
      </c>
      <c r="AI38" s="83">
        <v>49564</v>
      </c>
      <c r="AJ38" s="83">
        <v>48285</v>
      </c>
      <c r="AK38" s="83">
        <v>46789</v>
      </c>
      <c r="AL38" s="83">
        <v>46181</v>
      </c>
      <c r="AM38" s="83">
        <v>44139</v>
      </c>
      <c r="AN38" s="83">
        <v>45094</v>
      </c>
      <c r="AO38" s="83">
        <v>44333</v>
      </c>
      <c r="AP38" s="83">
        <v>44805</v>
      </c>
      <c r="AQ38" s="83">
        <v>43905</v>
      </c>
      <c r="AR38" s="83">
        <v>43649</v>
      </c>
      <c r="AS38" s="83">
        <v>41251</v>
      </c>
      <c r="AT38" s="83">
        <v>40721</v>
      </c>
      <c r="AU38" s="83">
        <v>39300</v>
      </c>
      <c r="AV38" s="83">
        <v>37126</v>
      </c>
      <c r="AW38" s="83">
        <v>34850</v>
      </c>
      <c r="AX38" s="83">
        <v>32249</v>
      </c>
      <c r="AY38" s="83">
        <v>30968</v>
      </c>
      <c r="AZ38" s="83">
        <v>29697</v>
      </c>
      <c r="BA38" s="83">
        <v>28110</v>
      </c>
      <c r="BB38" s="83">
        <v>27657</v>
      </c>
      <c r="BC38" s="83">
        <v>26717</v>
      </c>
      <c r="BD38" s="83">
        <v>25416</v>
      </c>
      <c r="BE38" s="83">
        <v>23978</v>
      </c>
      <c r="BF38" s="83">
        <v>22622</v>
      </c>
      <c r="BG38" s="83">
        <v>20887</v>
      </c>
      <c r="BH38" s="83">
        <v>19971</v>
      </c>
      <c r="BI38" s="83">
        <v>17598</v>
      </c>
      <c r="BJ38" s="83">
        <v>15707</v>
      </c>
      <c r="BK38" s="83">
        <v>13600</v>
      </c>
      <c r="BL38" s="83">
        <v>11957</v>
      </c>
      <c r="BM38" s="83">
        <v>10150</v>
      </c>
      <c r="BN38" s="83">
        <v>8430</v>
      </c>
      <c r="BO38" s="83">
        <v>6722</v>
      </c>
      <c r="BP38" s="83">
        <v>5102</v>
      </c>
      <c r="BQ38" s="83">
        <v>4040</v>
      </c>
      <c r="BR38" s="83">
        <v>2783</v>
      </c>
      <c r="BS38" s="83">
        <v>1718</v>
      </c>
      <c r="BT38" s="83">
        <v>1182</v>
      </c>
      <c r="BU38" s="83">
        <v>732</v>
      </c>
      <c r="BV38" s="83">
        <v>1283</v>
      </c>
    </row>
    <row r="39" spans="1:74" x14ac:dyDescent="0.25">
      <c r="A39" s="66">
        <v>2017</v>
      </c>
      <c r="B39" s="82" t="s">
        <v>122</v>
      </c>
      <c r="D39" s="83">
        <v>58232</v>
      </c>
      <c r="E39" s="83">
        <v>59415</v>
      </c>
      <c r="F39" s="83">
        <v>59610</v>
      </c>
      <c r="G39" s="83">
        <v>59839</v>
      </c>
      <c r="H39" s="83">
        <v>59194</v>
      </c>
      <c r="I39" s="83">
        <v>60639</v>
      </c>
      <c r="J39" s="83">
        <v>60082</v>
      </c>
      <c r="K39" s="83">
        <v>60118</v>
      </c>
      <c r="L39" s="83">
        <v>58686</v>
      </c>
      <c r="M39" s="83">
        <v>57888</v>
      </c>
      <c r="N39" s="83">
        <v>57776</v>
      </c>
      <c r="O39" s="83">
        <v>57608</v>
      </c>
      <c r="P39" s="83">
        <v>57179</v>
      </c>
      <c r="Q39" s="83">
        <v>58120</v>
      </c>
      <c r="R39" s="83">
        <v>58682</v>
      </c>
      <c r="S39" s="83">
        <v>59900</v>
      </c>
      <c r="T39" s="83">
        <v>62130</v>
      </c>
      <c r="U39" s="83">
        <v>62736</v>
      </c>
      <c r="V39" s="83">
        <v>64499</v>
      </c>
      <c r="W39" s="83">
        <v>65644</v>
      </c>
      <c r="X39" s="83">
        <v>66024</v>
      </c>
      <c r="Y39" s="83">
        <v>66900</v>
      </c>
      <c r="Z39" s="83">
        <v>66537</v>
      </c>
      <c r="AA39" s="83">
        <v>67625</v>
      </c>
      <c r="AB39" s="83">
        <v>65512</v>
      </c>
      <c r="AC39" s="83">
        <v>62746</v>
      </c>
      <c r="AD39" s="83">
        <v>60756</v>
      </c>
      <c r="AE39" s="83">
        <v>58873</v>
      </c>
      <c r="AF39" s="83">
        <v>56966</v>
      </c>
      <c r="AG39" s="83">
        <v>54314</v>
      </c>
      <c r="AH39" s="83">
        <v>52971</v>
      </c>
      <c r="AI39" s="83">
        <v>50952</v>
      </c>
      <c r="AJ39" s="83">
        <v>49056</v>
      </c>
      <c r="AK39" s="83">
        <v>47838</v>
      </c>
      <c r="AL39" s="83">
        <v>46126</v>
      </c>
      <c r="AM39" s="83">
        <v>45576</v>
      </c>
      <c r="AN39" s="83">
        <v>43684</v>
      </c>
      <c r="AO39" s="83">
        <v>44636</v>
      </c>
      <c r="AP39" s="83">
        <v>43873</v>
      </c>
      <c r="AQ39" s="83">
        <v>44322</v>
      </c>
      <c r="AR39" s="83">
        <v>43437</v>
      </c>
      <c r="AS39" s="83">
        <v>43149</v>
      </c>
      <c r="AT39" s="83">
        <v>40767</v>
      </c>
      <c r="AU39" s="83">
        <v>40194</v>
      </c>
      <c r="AV39" s="83">
        <v>38743</v>
      </c>
      <c r="AW39" s="83">
        <v>36533</v>
      </c>
      <c r="AX39" s="83">
        <v>34279</v>
      </c>
      <c r="AY39" s="83">
        <v>31604</v>
      </c>
      <c r="AZ39" s="83">
        <v>30300</v>
      </c>
      <c r="BA39" s="83">
        <v>28925</v>
      </c>
      <c r="BB39" s="83">
        <v>27284</v>
      </c>
      <c r="BC39" s="83">
        <v>26753</v>
      </c>
      <c r="BD39" s="83">
        <v>25745</v>
      </c>
      <c r="BE39" s="83">
        <v>24288</v>
      </c>
      <c r="BF39" s="83">
        <v>22709</v>
      </c>
      <c r="BG39" s="83">
        <v>21258</v>
      </c>
      <c r="BH39" s="83">
        <v>19500</v>
      </c>
      <c r="BI39" s="83">
        <v>18320</v>
      </c>
      <c r="BJ39" s="83">
        <v>16009</v>
      </c>
      <c r="BK39" s="83">
        <v>14011</v>
      </c>
      <c r="BL39" s="83">
        <v>11948</v>
      </c>
      <c r="BM39" s="83">
        <v>10291</v>
      </c>
      <c r="BN39" s="83">
        <v>8641</v>
      </c>
      <c r="BO39" s="83">
        <v>6979</v>
      </c>
      <c r="BP39" s="83">
        <v>5339</v>
      </c>
      <c r="BQ39" s="83">
        <v>3970</v>
      </c>
      <c r="BR39" s="83">
        <v>3038</v>
      </c>
      <c r="BS39" s="83">
        <v>2029</v>
      </c>
      <c r="BT39" s="83">
        <v>1206</v>
      </c>
      <c r="BU39" s="83">
        <v>786</v>
      </c>
      <c r="BV39" s="83">
        <v>1253</v>
      </c>
    </row>
    <row r="40" spans="1:74" x14ac:dyDescent="0.25">
      <c r="A40" s="66">
        <v>2018</v>
      </c>
      <c r="B40" s="82" t="s">
        <v>122</v>
      </c>
      <c r="D40" s="83">
        <v>60163</v>
      </c>
      <c r="E40" s="83">
        <v>59157</v>
      </c>
      <c r="F40" s="83">
        <v>60169</v>
      </c>
      <c r="G40" s="83">
        <v>60370</v>
      </c>
      <c r="H40" s="83">
        <v>60479</v>
      </c>
      <c r="I40" s="83">
        <v>59846</v>
      </c>
      <c r="J40" s="83">
        <v>61171</v>
      </c>
      <c r="K40" s="83">
        <v>60541</v>
      </c>
      <c r="L40" s="83">
        <v>60609</v>
      </c>
      <c r="M40" s="83">
        <v>59138</v>
      </c>
      <c r="N40" s="83">
        <v>58211</v>
      </c>
      <c r="O40" s="83">
        <v>58031</v>
      </c>
      <c r="P40" s="83">
        <v>57949</v>
      </c>
      <c r="Q40" s="83">
        <v>57506</v>
      </c>
      <c r="R40" s="83">
        <v>58369</v>
      </c>
      <c r="S40" s="83">
        <v>58906</v>
      </c>
      <c r="T40" s="83">
        <v>60116</v>
      </c>
      <c r="U40" s="83">
        <v>62236</v>
      </c>
      <c r="V40" s="83">
        <v>62842</v>
      </c>
      <c r="W40" s="83">
        <v>64600</v>
      </c>
      <c r="X40" s="83">
        <v>65692</v>
      </c>
      <c r="Y40" s="83">
        <v>65934</v>
      </c>
      <c r="Z40" s="83">
        <v>66787</v>
      </c>
      <c r="AA40" s="83">
        <v>66407</v>
      </c>
      <c r="AB40" s="83">
        <v>67432</v>
      </c>
      <c r="AC40" s="83">
        <v>65236</v>
      </c>
      <c r="AD40" s="83">
        <v>62498</v>
      </c>
      <c r="AE40" s="83">
        <v>60387</v>
      </c>
      <c r="AF40" s="83">
        <v>58422</v>
      </c>
      <c r="AG40" s="83">
        <v>56489</v>
      </c>
      <c r="AH40" s="83">
        <v>53801</v>
      </c>
      <c r="AI40" s="83">
        <v>52458</v>
      </c>
      <c r="AJ40" s="83">
        <v>50431</v>
      </c>
      <c r="AK40" s="83">
        <v>48529</v>
      </c>
      <c r="AL40" s="83">
        <v>47137</v>
      </c>
      <c r="AM40" s="83">
        <v>45544</v>
      </c>
      <c r="AN40" s="83">
        <v>45066</v>
      </c>
      <c r="AO40" s="83">
        <v>43233</v>
      </c>
      <c r="AP40" s="83">
        <v>44169</v>
      </c>
      <c r="AQ40" s="83">
        <v>43423</v>
      </c>
      <c r="AR40" s="83">
        <v>43861</v>
      </c>
      <c r="AS40" s="83">
        <v>42945</v>
      </c>
      <c r="AT40" s="83">
        <v>42609</v>
      </c>
      <c r="AU40" s="83">
        <v>40246</v>
      </c>
      <c r="AV40" s="83">
        <v>39607</v>
      </c>
      <c r="AW40" s="83">
        <v>38117</v>
      </c>
      <c r="AX40" s="83">
        <v>35919</v>
      </c>
      <c r="AY40" s="83">
        <v>33611</v>
      </c>
      <c r="AZ40" s="83">
        <v>30898</v>
      </c>
      <c r="BA40" s="83">
        <v>29566</v>
      </c>
      <c r="BB40" s="83">
        <v>28164</v>
      </c>
      <c r="BC40" s="83">
        <v>26414</v>
      </c>
      <c r="BD40" s="83">
        <v>25761</v>
      </c>
      <c r="BE40" s="83">
        <v>24603</v>
      </c>
      <c r="BF40" s="83">
        <v>23080</v>
      </c>
      <c r="BG40" s="83">
        <v>21402</v>
      </c>
      <c r="BH40" s="83">
        <v>19842</v>
      </c>
      <c r="BI40" s="83">
        <v>17947</v>
      </c>
      <c r="BJ40" s="83">
        <v>16665</v>
      </c>
      <c r="BK40" s="83">
        <v>14342</v>
      </c>
      <c r="BL40" s="83">
        <v>12352</v>
      </c>
      <c r="BM40" s="83">
        <v>10357</v>
      </c>
      <c r="BN40" s="83">
        <v>8692</v>
      </c>
      <c r="BO40" s="83">
        <v>7102</v>
      </c>
      <c r="BP40" s="83">
        <v>5633</v>
      </c>
      <c r="BQ40" s="83">
        <v>4199</v>
      </c>
      <c r="BR40" s="83">
        <v>3036</v>
      </c>
      <c r="BS40" s="83">
        <v>2257</v>
      </c>
      <c r="BT40" s="83">
        <v>1423</v>
      </c>
      <c r="BU40" s="83">
        <v>850</v>
      </c>
      <c r="BV40" s="83">
        <v>1315</v>
      </c>
    </row>
    <row r="41" spans="1:74" x14ac:dyDescent="0.25">
      <c r="A41" s="66">
        <v>2019</v>
      </c>
      <c r="B41" s="82" t="s">
        <v>122</v>
      </c>
      <c r="D41" s="83">
        <v>59840</v>
      </c>
      <c r="E41" s="83">
        <v>61235</v>
      </c>
      <c r="F41" s="83">
        <v>60048</v>
      </c>
      <c r="G41" s="83">
        <v>60953</v>
      </c>
      <c r="H41" s="83">
        <v>60983</v>
      </c>
      <c r="I41" s="83">
        <v>61003</v>
      </c>
      <c r="J41" s="83">
        <v>60478</v>
      </c>
      <c r="K41" s="83">
        <v>61738</v>
      </c>
      <c r="L41" s="83">
        <v>61013</v>
      </c>
      <c r="M41" s="83">
        <v>61036</v>
      </c>
      <c r="N41" s="83">
        <v>59508</v>
      </c>
      <c r="O41" s="83">
        <v>58584</v>
      </c>
      <c r="P41" s="83">
        <v>58336</v>
      </c>
      <c r="Q41" s="83">
        <v>58227</v>
      </c>
      <c r="R41" s="83">
        <v>57784</v>
      </c>
      <c r="S41" s="83">
        <v>58582</v>
      </c>
      <c r="T41" s="83">
        <v>59124</v>
      </c>
      <c r="U41" s="83">
        <v>60321</v>
      </c>
      <c r="V41" s="83">
        <v>62382</v>
      </c>
      <c r="W41" s="83">
        <v>62928</v>
      </c>
      <c r="X41" s="83">
        <v>64584</v>
      </c>
      <c r="Y41" s="83">
        <v>65662</v>
      </c>
      <c r="Z41" s="83">
        <v>65867</v>
      </c>
      <c r="AA41" s="83">
        <v>66678</v>
      </c>
      <c r="AB41" s="83">
        <v>66142</v>
      </c>
      <c r="AC41" s="83">
        <v>67180</v>
      </c>
      <c r="AD41" s="83">
        <v>64980</v>
      </c>
      <c r="AE41" s="83">
        <v>62225</v>
      </c>
      <c r="AF41" s="83">
        <v>60002</v>
      </c>
      <c r="AG41" s="83">
        <v>57957</v>
      </c>
      <c r="AH41" s="83">
        <v>56019</v>
      </c>
      <c r="AI41" s="83">
        <v>53315</v>
      </c>
      <c r="AJ41" s="83">
        <v>51898</v>
      </c>
      <c r="AK41" s="83">
        <v>49939</v>
      </c>
      <c r="AL41" s="83">
        <v>47863</v>
      </c>
      <c r="AM41" s="83">
        <v>46552</v>
      </c>
      <c r="AN41" s="83">
        <v>45025</v>
      </c>
      <c r="AO41" s="83">
        <v>44665</v>
      </c>
      <c r="AP41" s="83">
        <v>42808</v>
      </c>
      <c r="AQ41" s="83">
        <v>43718</v>
      </c>
      <c r="AR41" s="83">
        <v>42955</v>
      </c>
      <c r="AS41" s="83">
        <v>43356</v>
      </c>
      <c r="AT41" s="83">
        <v>42389</v>
      </c>
      <c r="AU41" s="83">
        <v>42000</v>
      </c>
      <c r="AV41" s="83">
        <v>39697</v>
      </c>
      <c r="AW41" s="83">
        <v>39012</v>
      </c>
      <c r="AX41" s="83">
        <v>37432</v>
      </c>
      <c r="AY41" s="83">
        <v>35262</v>
      </c>
      <c r="AZ41" s="83">
        <v>32895</v>
      </c>
      <c r="BA41" s="83">
        <v>30137</v>
      </c>
      <c r="BB41" s="83">
        <v>28797</v>
      </c>
      <c r="BC41" s="83">
        <v>27221</v>
      </c>
      <c r="BD41" s="83">
        <v>25489</v>
      </c>
      <c r="BE41" s="83">
        <v>24624</v>
      </c>
      <c r="BF41" s="83">
        <v>23404</v>
      </c>
      <c r="BG41" s="83">
        <v>21812</v>
      </c>
      <c r="BH41" s="83">
        <v>20007</v>
      </c>
      <c r="BI41" s="83">
        <v>18334</v>
      </c>
      <c r="BJ41" s="83">
        <v>16370</v>
      </c>
      <c r="BK41" s="83">
        <v>14982</v>
      </c>
      <c r="BL41" s="83">
        <v>12647</v>
      </c>
      <c r="BM41" s="83">
        <v>10763</v>
      </c>
      <c r="BN41" s="83">
        <v>8765</v>
      </c>
      <c r="BO41" s="83">
        <v>7179</v>
      </c>
      <c r="BP41" s="83">
        <v>5677</v>
      </c>
      <c r="BQ41" s="83">
        <v>4466</v>
      </c>
      <c r="BR41" s="83">
        <v>3200</v>
      </c>
      <c r="BS41" s="83">
        <v>2212</v>
      </c>
      <c r="BT41" s="83">
        <v>1618</v>
      </c>
      <c r="BU41" s="83">
        <v>979</v>
      </c>
      <c r="BV41" s="83">
        <v>1347</v>
      </c>
    </row>
    <row r="42" spans="1:74" x14ac:dyDescent="0.25"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8"/>
      <c r="Z42" s="8"/>
      <c r="AL42" s="72"/>
      <c r="AM42" s="72"/>
      <c r="AN42" s="72"/>
      <c r="AO42" s="75"/>
      <c r="AP42" s="72"/>
      <c r="AQ42" s="72"/>
      <c r="AR42" s="72"/>
      <c r="AS42" s="72"/>
    </row>
    <row r="43" spans="1:74" x14ac:dyDescent="0.25"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8"/>
      <c r="Z43" s="8"/>
      <c r="AL43" s="72"/>
      <c r="AM43" s="72"/>
      <c r="AN43" s="72"/>
      <c r="AO43" s="75"/>
      <c r="AP43" s="72"/>
      <c r="AQ43" s="72"/>
      <c r="AR43" s="72"/>
      <c r="AS43" s="72"/>
    </row>
    <row r="44" spans="1:74" x14ac:dyDescent="0.25"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8"/>
      <c r="Z44" s="8"/>
      <c r="AL44" s="72"/>
      <c r="AM44" s="72"/>
      <c r="AN44" s="72"/>
      <c r="AO44" s="75"/>
      <c r="AP44" s="72"/>
      <c r="AQ44" s="72"/>
      <c r="AR44" s="72"/>
      <c r="AS44" s="72"/>
    </row>
    <row r="45" spans="1:74" x14ac:dyDescent="0.25"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8"/>
      <c r="Z45" s="8"/>
      <c r="AL45" s="72"/>
      <c r="AM45" s="72"/>
      <c r="AN45" s="72"/>
      <c r="AO45" s="75"/>
      <c r="AP45" s="72"/>
      <c r="AQ45" s="72"/>
      <c r="AR45" s="72"/>
      <c r="AS45" s="72"/>
    </row>
    <row r="46" spans="1:74" x14ac:dyDescent="0.25">
      <c r="A46" s="11"/>
      <c r="B46" s="11"/>
      <c r="C46" s="100"/>
      <c r="D46" s="100"/>
      <c r="E46" s="100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8"/>
      <c r="Z46" s="8"/>
      <c r="AL46" s="72"/>
      <c r="AM46" s="72"/>
      <c r="AN46" s="72"/>
      <c r="AO46" s="72"/>
      <c r="AP46" s="72"/>
      <c r="AQ46" s="72"/>
      <c r="AR46" s="72"/>
      <c r="AS46" s="72"/>
    </row>
    <row r="47" spans="1:74" x14ac:dyDescent="0.25"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8"/>
      <c r="Z47" s="8"/>
      <c r="AO47" s="79"/>
    </row>
    <row r="56" spans="9:10" x14ac:dyDescent="0.25">
      <c r="I56" s="2"/>
      <c r="J56" s="2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POPULATION_DATA!X4:X4</xm:f>
              <xm:sqref>A4</xm:sqref>
            </x14:sparkline>
            <x14:sparkline>
              <xm:f>POPULATION_DATA!X5:X5</xm:f>
              <xm:sqref>A5</xm:sqref>
            </x14:sparkline>
            <x14:sparkline>
              <xm:f>POPULATION_DATA!X6:X6</xm:f>
              <xm:sqref>A6</xm:sqref>
            </x14:sparkline>
            <x14:sparkline>
              <xm:f>POPULATION_DATA!X7:X7</xm:f>
              <xm:sqref>A7</xm:sqref>
            </x14:sparkline>
            <x14:sparkline>
              <xm:f>POPULATION_DATA!X8:X8</xm:f>
              <xm:sqref>A8</xm:sqref>
            </x14:sparkline>
            <x14:sparkline>
              <xm:f>POPULATION_DATA!X9:X9</xm:f>
              <xm:sqref>A9</xm:sqref>
            </x14:sparkline>
            <x14:sparkline>
              <xm:f>POPULATION_DATA!X10:X10</xm:f>
              <xm:sqref>A10</xm:sqref>
            </x14:sparkline>
            <x14:sparkline>
              <xm:f>POPULATION_DATA!X11:X11</xm:f>
              <xm:sqref>A11</xm:sqref>
            </x14:sparkline>
            <x14:sparkline>
              <xm:f>POPULATION_DATA!X12:X12</xm:f>
              <xm:sqref>A12</xm:sqref>
            </x14:sparkline>
            <x14:sparkline>
              <xm:f>POPULATION_DATA!X13:X13</xm:f>
              <xm:sqref>A13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POPULATION_DATA!X18:X18</xm:f>
              <xm:sqref>A18</xm:sqref>
            </x14:sparkline>
            <x14:sparkline>
              <xm:f>POPULATION_DATA!X19:X19</xm:f>
              <xm:sqref>A19</xm:sqref>
            </x14:sparkline>
            <x14:sparkline>
              <xm:f>POPULATION_DATA!X20:X20</xm:f>
              <xm:sqref>A20</xm:sqref>
            </x14:sparkline>
            <x14:sparkline>
              <xm:f>POPULATION_DATA!X21:X21</xm:f>
              <xm:sqref>A21</xm:sqref>
            </x14:sparkline>
            <x14:sparkline>
              <xm:f>POPULATION_DATA!X22:X22</xm:f>
              <xm:sqref>A22</xm:sqref>
            </x14:sparkline>
            <x14:sparkline>
              <xm:f>POPULATION_DATA!X23:X23</xm:f>
              <xm:sqref>A23</xm:sqref>
            </x14:sparkline>
            <x14:sparkline>
              <xm:f>POPULATION_DATA!X24:X24</xm:f>
              <xm:sqref>A24</xm:sqref>
            </x14:sparkline>
            <x14:sparkline>
              <xm:f>POPULATION_DATA!X25:X25</xm:f>
              <xm:sqref>A25</xm:sqref>
            </x14:sparkline>
            <x14:sparkline>
              <xm:f>POPULATION_DATA!X26:X26</xm:f>
              <xm:sqref>A26</xm:sqref>
            </x14:sparkline>
            <x14:sparkline>
              <xm:f>POPULATION_DATA!X27:X27</xm:f>
              <xm:sqref>A27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POPULATION_DATA!X32:X32</xm:f>
              <xm:sqref>A32</xm:sqref>
            </x14:sparkline>
            <x14:sparkline>
              <xm:f>POPULATION_DATA!X33:X33</xm:f>
              <xm:sqref>A33</xm:sqref>
            </x14:sparkline>
            <x14:sparkline>
              <xm:f>POPULATION_DATA!X34:X34</xm:f>
              <xm:sqref>A34</xm:sqref>
            </x14:sparkline>
            <x14:sparkline>
              <xm:f>POPULATION_DATA!X35:X35</xm:f>
              <xm:sqref>A35</xm:sqref>
            </x14:sparkline>
            <x14:sparkline>
              <xm:f>POPULATION_DATA!X36:X36</xm:f>
              <xm:sqref>A36</xm:sqref>
            </x14:sparkline>
            <x14:sparkline>
              <xm:f>POPULATION_DATA!X37:X37</xm:f>
              <xm:sqref>A37</xm:sqref>
            </x14:sparkline>
            <x14:sparkline>
              <xm:f>POPULATION_DATA!X38:X38</xm:f>
              <xm:sqref>A38</xm:sqref>
            </x14:sparkline>
            <x14:sparkline>
              <xm:f>POPULATION_DATA!X39:X39</xm:f>
              <xm:sqref>A39</xm:sqref>
            </x14:sparkline>
            <x14:sparkline>
              <xm:f>POPULATION_DATA!X40:X40</xm:f>
              <xm:sqref>A40</xm:sqref>
            </x14:sparkline>
            <x14:sparkline>
              <xm:f>POPULATION_DATA!X41:X41</xm:f>
              <xm:sqref>A41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N64"/>
  <sheetViews>
    <sheetView workbookViewId="0">
      <selection activeCell="K44" sqref="K44"/>
    </sheetView>
  </sheetViews>
  <sheetFormatPr baseColWidth="10" defaultColWidth="9.140625" defaultRowHeight="15" x14ac:dyDescent="0.25"/>
  <sheetData>
    <row r="1" spans="1:14" ht="50.25" customHeight="1" x14ac:dyDescent="0.25">
      <c r="A1" s="105" t="s">
        <v>123</v>
      </c>
    </row>
    <row r="2" spans="1:14" ht="15.75" thickBot="1" x14ac:dyDescent="0.3"/>
    <row r="3" spans="1:14" x14ac:dyDescent="0.25">
      <c r="A3" s="31" t="s">
        <v>124</v>
      </c>
      <c r="B3" s="32"/>
      <c r="C3" s="32"/>
      <c r="D3" s="33"/>
      <c r="E3" s="32"/>
      <c r="F3" s="32"/>
      <c r="G3" s="32"/>
      <c r="H3" s="34"/>
    </row>
    <row r="4" spans="1:14" ht="15.75" thickBot="1" x14ac:dyDescent="0.3">
      <c r="A4" s="35" t="s">
        <v>37</v>
      </c>
      <c r="B4" s="36">
        <v>2013</v>
      </c>
      <c r="C4" s="36">
        <v>2014</v>
      </c>
      <c r="D4" s="37">
        <v>2015</v>
      </c>
      <c r="E4" s="36">
        <v>2016</v>
      </c>
      <c r="F4" s="36">
        <v>2017</v>
      </c>
      <c r="G4" s="36">
        <v>2018</v>
      </c>
      <c r="H4" s="38">
        <v>2019</v>
      </c>
      <c r="J4" t="s">
        <v>125</v>
      </c>
    </row>
    <row r="5" spans="1:14" x14ac:dyDescent="0.25">
      <c r="A5" s="110" t="s">
        <v>12</v>
      </c>
      <c r="B5" s="111">
        <v>12920</v>
      </c>
      <c r="C5" s="111">
        <v>13223</v>
      </c>
      <c r="D5" s="112">
        <v>13225</v>
      </c>
      <c r="E5" s="111">
        <v>14459</v>
      </c>
      <c r="F5" s="111">
        <v>14329</v>
      </c>
      <c r="G5" s="111">
        <v>14630</v>
      </c>
      <c r="H5" s="113">
        <v>15378</v>
      </c>
      <c r="J5" t="s">
        <v>126</v>
      </c>
    </row>
    <row r="6" spans="1:14" x14ac:dyDescent="0.25">
      <c r="A6" s="114" t="s">
        <v>127</v>
      </c>
      <c r="B6" s="115">
        <f>B5*0.006</f>
        <v>77.52</v>
      </c>
      <c r="C6" s="115">
        <f>C5*0.006</f>
        <v>79.338000000000008</v>
      </c>
      <c r="D6" s="116">
        <f>D5*0.006</f>
        <v>79.350000000000009</v>
      </c>
      <c r="E6" s="115">
        <f>E5*0.006</f>
        <v>86.754000000000005</v>
      </c>
      <c r="F6" s="115">
        <f>F5*0.005</f>
        <v>71.644999999999996</v>
      </c>
      <c r="G6" s="115">
        <f>G5*0.005</f>
        <v>73.150000000000006</v>
      </c>
      <c r="H6" s="117">
        <f>H5*0.004</f>
        <v>61.512</v>
      </c>
    </row>
    <row r="7" spans="1:14" x14ac:dyDescent="0.25">
      <c r="A7" s="114" t="s">
        <v>43</v>
      </c>
      <c r="B7" s="115">
        <f>B5*0.062</f>
        <v>801.04</v>
      </c>
      <c r="C7" s="115">
        <f>C5*0.062</f>
        <v>819.82600000000002</v>
      </c>
      <c r="D7" s="116">
        <f>D5*0.066</f>
        <v>872.85</v>
      </c>
      <c r="E7" s="115">
        <f>E5*0.066</f>
        <v>954.2940000000001</v>
      </c>
      <c r="F7" s="115">
        <f>F5*0.063</f>
        <v>902.72699999999998</v>
      </c>
      <c r="G7" s="115">
        <f>G5*0.064</f>
        <v>936.32</v>
      </c>
      <c r="H7" s="117">
        <f>H5*0.06</f>
        <v>922.68</v>
      </c>
    </row>
    <row r="8" spans="1:14" x14ac:dyDescent="0.25">
      <c r="A8" s="114" t="s">
        <v>44</v>
      </c>
      <c r="B8" s="115">
        <f>B5*0.233</f>
        <v>3010.36</v>
      </c>
      <c r="C8" s="115">
        <f>C5*0.233</f>
        <v>3080.9590000000003</v>
      </c>
      <c r="D8" s="116">
        <f>D5*0.234</f>
        <v>3094.65</v>
      </c>
      <c r="E8" s="115">
        <f>E5*0.235</f>
        <v>3397.8649999999998</v>
      </c>
      <c r="F8" s="115">
        <f>F5*0.238</f>
        <v>3410.3019999999997</v>
      </c>
      <c r="G8" s="115">
        <f>G5*0.244</f>
        <v>3569.72</v>
      </c>
      <c r="H8" s="117">
        <f>H5*0.232</f>
        <v>3567.6960000000004</v>
      </c>
    </row>
    <row r="9" spans="1:14" x14ac:dyDescent="0.25">
      <c r="A9" s="114" t="s">
        <v>128</v>
      </c>
      <c r="B9" s="115">
        <f>B5*0.369</f>
        <v>4767.4799999999996</v>
      </c>
      <c r="C9" s="115">
        <f>C5*0.369</f>
        <v>4879.2870000000003</v>
      </c>
      <c r="D9" s="116">
        <f>D5*0.368</f>
        <v>4866.8</v>
      </c>
      <c r="E9" s="115">
        <f>E5*0.376</f>
        <v>5436.5839999999998</v>
      </c>
      <c r="F9" s="115">
        <f>F5*0.378</f>
        <v>5416.3620000000001</v>
      </c>
      <c r="G9" s="115">
        <f>G5*0.364</f>
        <v>5325.32</v>
      </c>
      <c r="H9" s="117">
        <f>H5*0.361</f>
        <v>5551.4579999999996</v>
      </c>
    </row>
    <row r="10" spans="1:14" x14ac:dyDescent="0.25">
      <c r="A10" s="114" t="s">
        <v>46</v>
      </c>
      <c r="B10" s="115">
        <f>B5*0.284</f>
        <v>3669.2799999999997</v>
      </c>
      <c r="C10" s="115">
        <f>C5*0.284</f>
        <v>3755.3319999999999</v>
      </c>
      <c r="D10" s="116">
        <f>D5*0.28</f>
        <v>3703.0000000000005</v>
      </c>
      <c r="E10" s="115">
        <f>E5*0.276</f>
        <v>3990.6840000000002</v>
      </c>
      <c r="F10" s="115">
        <f>F5*0.273</f>
        <v>3911.8170000000005</v>
      </c>
      <c r="G10" s="115">
        <f>G5*0.277</f>
        <v>4052.51</v>
      </c>
      <c r="H10" s="117">
        <f>H5*0.293</f>
        <v>4505.7539999999999</v>
      </c>
    </row>
    <row r="11" spans="1:14" x14ac:dyDescent="0.25">
      <c r="A11" s="114" t="s">
        <v>47</v>
      </c>
      <c r="B11" s="115">
        <f>B5*0.045</f>
        <v>581.4</v>
      </c>
      <c r="C11" s="115">
        <f>C5*0.045</f>
        <v>595.03499999999997</v>
      </c>
      <c r="D11" s="116">
        <f>D5*0.047</f>
        <v>621.57500000000005</v>
      </c>
      <c r="E11" s="115">
        <f>E5*0.042</f>
        <v>607.27800000000002</v>
      </c>
      <c r="F11" s="115">
        <f>F5*0.044</f>
        <v>630.476</v>
      </c>
      <c r="G11" s="115">
        <f>G5*0.048</f>
        <v>702.24</v>
      </c>
      <c r="H11" s="117">
        <f>H5*0.051</f>
        <v>784.27799999999991</v>
      </c>
    </row>
    <row r="12" spans="1:14" x14ac:dyDescent="0.25">
      <c r="A12" s="12"/>
      <c r="B12" s="1"/>
      <c r="C12" s="1"/>
      <c r="D12" s="4"/>
      <c r="E12" s="1"/>
      <c r="F12" s="1"/>
      <c r="G12" s="1"/>
      <c r="H12" s="5"/>
    </row>
    <row r="13" spans="1:14" ht="15.75" thickBot="1" x14ac:dyDescent="0.3">
      <c r="A13" s="13" t="s">
        <v>129</v>
      </c>
      <c r="B13" s="6">
        <f t="shared" ref="B13:H13" si="0">SUM(B6:B11)</f>
        <v>12907.08</v>
      </c>
      <c r="C13" s="6">
        <f t="shared" si="0"/>
        <v>13209.777</v>
      </c>
      <c r="D13" s="6">
        <f t="shared" si="0"/>
        <v>13238.225000000002</v>
      </c>
      <c r="E13" s="6">
        <f t="shared" si="0"/>
        <v>14473.459000000001</v>
      </c>
      <c r="F13" s="6">
        <f t="shared" si="0"/>
        <v>14343.329000000002</v>
      </c>
      <c r="G13" s="6">
        <f t="shared" si="0"/>
        <v>14659.259999999998</v>
      </c>
      <c r="H13" s="7">
        <f t="shared" si="0"/>
        <v>15393.378000000002</v>
      </c>
      <c r="L13" s="2"/>
      <c r="M13" s="2"/>
      <c r="N13" s="2"/>
    </row>
    <row r="15" spans="1:14" ht="15.75" thickBot="1" x14ac:dyDescent="0.3"/>
    <row r="16" spans="1:14" x14ac:dyDescent="0.25">
      <c r="A16" s="31" t="s">
        <v>130</v>
      </c>
      <c r="B16" s="32"/>
      <c r="C16" s="32"/>
      <c r="D16" s="33"/>
      <c r="E16" s="32"/>
      <c r="F16" s="32"/>
      <c r="G16" s="32"/>
      <c r="H16" s="34"/>
    </row>
    <row r="17" spans="1:8" ht="15.75" thickBot="1" x14ac:dyDescent="0.3">
      <c r="A17" s="106" t="s">
        <v>37</v>
      </c>
      <c r="B17" s="107">
        <v>2013</v>
      </c>
      <c r="C17" s="107">
        <v>2014</v>
      </c>
      <c r="D17" s="108">
        <v>2015</v>
      </c>
      <c r="E17" s="107">
        <v>2016</v>
      </c>
      <c r="F17" s="107">
        <v>2017</v>
      </c>
      <c r="G17" s="107">
        <v>2018</v>
      </c>
      <c r="H17" s="109">
        <v>2019</v>
      </c>
    </row>
    <row r="18" spans="1:8" x14ac:dyDescent="0.25">
      <c r="A18" s="110" t="s">
        <v>12</v>
      </c>
      <c r="B18" s="111">
        <v>2347</v>
      </c>
      <c r="C18" s="111">
        <v>2083</v>
      </c>
      <c r="D18" s="112">
        <v>2312</v>
      </c>
      <c r="E18" s="111">
        <v>2408</v>
      </c>
      <c r="F18" s="111">
        <v>2543</v>
      </c>
      <c r="G18" s="111">
        <v>2612</v>
      </c>
      <c r="H18" s="113">
        <v>2908</v>
      </c>
    </row>
    <row r="19" spans="1:8" x14ac:dyDescent="0.25">
      <c r="A19" s="114" t="s">
        <v>127</v>
      </c>
      <c r="B19" s="115">
        <f>B18*0.017</f>
        <v>39.899000000000001</v>
      </c>
      <c r="C19" s="115">
        <f>C18*0.017</f>
        <v>35.411000000000001</v>
      </c>
      <c r="D19" s="116">
        <f>D18*0.022</f>
        <v>50.863999999999997</v>
      </c>
      <c r="E19" s="115">
        <f>E18*0.019</f>
        <v>45.751999999999995</v>
      </c>
      <c r="F19" s="115">
        <f>F18*0.023</f>
        <v>58.488999999999997</v>
      </c>
      <c r="G19" s="115">
        <f>G18*0.022</f>
        <v>57.463999999999999</v>
      </c>
      <c r="H19" s="117">
        <f>H18*0.021</f>
        <v>61.068000000000005</v>
      </c>
    </row>
    <row r="20" spans="1:8" x14ac:dyDescent="0.25">
      <c r="A20" s="114" t="s">
        <v>43</v>
      </c>
      <c r="B20" s="115">
        <f>B18*0.137</f>
        <v>321.53900000000004</v>
      </c>
      <c r="C20" s="115">
        <f>C18*0.137</f>
        <v>285.37100000000004</v>
      </c>
      <c r="D20" s="116">
        <f>D18*0.139</f>
        <v>321.36800000000005</v>
      </c>
      <c r="E20" s="115">
        <f>E18*0.152</f>
        <v>366.01599999999996</v>
      </c>
      <c r="F20" s="115">
        <f>F18*0.157</f>
        <v>399.25099999999998</v>
      </c>
      <c r="G20" s="115">
        <f>G18*0.141</f>
        <v>368.29199999999997</v>
      </c>
      <c r="H20" s="117">
        <f>H18*0.144</f>
        <v>418.75199999999995</v>
      </c>
    </row>
    <row r="21" spans="1:8" x14ac:dyDescent="0.25">
      <c r="A21" s="114" t="s">
        <v>44</v>
      </c>
      <c r="B21" s="115">
        <f>B18*0.335</f>
        <v>786.245</v>
      </c>
      <c r="C21" s="115">
        <f>C18*0.335</f>
        <v>697.80500000000006</v>
      </c>
      <c r="D21" s="116">
        <f>D18*0.329</f>
        <v>760.64800000000002</v>
      </c>
      <c r="E21" s="115">
        <f>E18*0.343</f>
        <v>825.94400000000007</v>
      </c>
      <c r="F21" s="115">
        <f>F18*0.344</f>
        <v>874.79199999999992</v>
      </c>
      <c r="G21" s="115">
        <f>G18*0.325</f>
        <v>848.9</v>
      </c>
      <c r="H21" s="117">
        <f>H18*0.339</f>
        <v>985.81200000000001</v>
      </c>
    </row>
    <row r="22" spans="1:8" x14ac:dyDescent="0.25">
      <c r="A22" s="114" t="s">
        <v>128</v>
      </c>
      <c r="B22" s="115">
        <f>B18*0.331</f>
        <v>776.85700000000008</v>
      </c>
      <c r="C22" s="115">
        <f>C18*0.331</f>
        <v>689.47300000000007</v>
      </c>
      <c r="D22" s="116">
        <f>D18*0.32</f>
        <v>739.84</v>
      </c>
      <c r="E22" s="115">
        <f>E18*0.312</f>
        <v>751.29600000000005</v>
      </c>
      <c r="F22" s="115">
        <f>F18*0.308</f>
        <v>783.24400000000003</v>
      </c>
      <c r="G22" s="115">
        <f>G18*0.321</f>
        <v>838.452</v>
      </c>
      <c r="H22" s="117">
        <f>H18*0.308</f>
        <v>895.66399999999999</v>
      </c>
    </row>
    <row r="23" spans="1:8" x14ac:dyDescent="0.25">
      <c r="A23" s="114" t="s">
        <v>46</v>
      </c>
      <c r="B23" s="115">
        <f>B18*0.159</f>
        <v>373.173</v>
      </c>
      <c r="C23" s="115">
        <f>C18*0.159</f>
        <v>331.197</v>
      </c>
      <c r="D23" s="116">
        <f>D18*0.165</f>
        <v>381.48</v>
      </c>
      <c r="E23" s="115">
        <f>E18*0.153</f>
        <v>368.42399999999998</v>
      </c>
      <c r="F23" s="115">
        <f>F18*0.151</f>
        <v>383.99299999999999</v>
      </c>
      <c r="G23" s="115">
        <f>G18*0.166</f>
        <v>433.59200000000004</v>
      </c>
      <c r="H23" s="117">
        <f>H18*0.162</f>
        <v>471.096</v>
      </c>
    </row>
    <row r="24" spans="1:8" x14ac:dyDescent="0.25">
      <c r="A24" s="114" t="s">
        <v>47</v>
      </c>
      <c r="B24" s="115">
        <f>B18*0.021</f>
        <v>49.287000000000006</v>
      </c>
      <c r="C24" s="115">
        <f>C18*0.021</f>
        <v>43.743000000000002</v>
      </c>
      <c r="D24" s="116">
        <f>D18*0.024</f>
        <v>55.488</v>
      </c>
      <c r="E24" s="115">
        <f>E18*0.02</f>
        <v>48.160000000000004</v>
      </c>
      <c r="F24" s="115">
        <f>F18*0.017</f>
        <v>43.231000000000002</v>
      </c>
      <c r="G24" s="115">
        <f>G18*0.025</f>
        <v>65.3</v>
      </c>
      <c r="H24" s="117">
        <f>H18*0.025</f>
        <v>72.7</v>
      </c>
    </row>
    <row r="25" spans="1:8" x14ac:dyDescent="0.25">
      <c r="A25" s="12"/>
      <c r="B25" s="1"/>
      <c r="C25" s="1"/>
      <c r="D25" s="4"/>
      <c r="E25" s="1"/>
      <c r="F25" s="1"/>
      <c r="G25" s="1"/>
      <c r="H25" s="5"/>
    </row>
    <row r="26" spans="1:8" ht="15.75" thickBot="1" x14ac:dyDescent="0.3">
      <c r="A26" s="13" t="s">
        <v>129</v>
      </c>
      <c r="B26" s="6">
        <f t="shared" ref="B26:H26" si="1">SUM(B19:B24)</f>
        <v>2346.9999999999995</v>
      </c>
      <c r="C26" s="6">
        <f t="shared" si="1"/>
        <v>2083</v>
      </c>
      <c r="D26" s="6">
        <f t="shared" si="1"/>
        <v>2309.6880000000001</v>
      </c>
      <c r="E26" s="6">
        <f t="shared" si="1"/>
        <v>2405.5919999999996</v>
      </c>
      <c r="F26" s="6">
        <f t="shared" si="1"/>
        <v>2543</v>
      </c>
      <c r="G26" s="6">
        <f t="shared" si="1"/>
        <v>2612.0000000000005</v>
      </c>
      <c r="H26" s="7">
        <f t="shared" si="1"/>
        <v>2905.0920000000001</v>
      </c>
    </row>
    <row r="28" spans="1:8" ht="15.75" thickBot="1" x14ac:dyDescent="0.3"/>
    <row r="29" spans="1:8" ht="15.75" thickBot="1" x14ac:dyDescent="0.3">
      <c r="A29" s="27" t="s">
        <v>131</v>
      </c>
      <c r="B29" s="24"/>
      <c r="C29" s="24"/>
      <c r="D29" s="25"/>
      <c r="E29" s="24"/>
      <c r="F29" s="24"/>
      <c r="G29" s="24"/>
      <c r="H29" s="26"/>
    </row>
    <row r="30" spans="1:8" ht="15.75" thickBot="1" x14ac:dyDescent="0.3">
      <c r="A30" s="55" t="s">
        <v>37</v>
      </c>
      <c r="B30" s="56">
        <v>2013</v>
      </c>
      <c r="C30" s="56">
        <v>2014</v>
      </c>
      <c r="D30" s="57">
        <v>2015</v>
      </c>
      <c r="E30" s="56">
        <v>2016</v>
      </c>
      <c r="F30" s="56">
        <v>2017</v>
      </c>
      <c r="G30" s="56">
        <v>2018</v>
      </c>
      <c r="H30" s="58">
        <v>2019</v>
      </c>
    </row>
    <row r="31" spans="1:8" x14ac:dyDescent="0.25">
      <c r="A31" s="39" t="s">
        <v>12</v>
      </c>
      <c r="B31" s="43">
        <f t="shared" ref="B31:H37" si="2">B18+B5</f>
        <v>15267</v>
      </c>
      <c r="C31" s="43">
        <f t="shared" si="2"/>
        <v>15306</v>
      </c>
      <c r="D31" s="44">
        <f t="shared" si="2"/>
        <v>15537</v>
      </c>
      <c r="E31" s="43">
        <f t="shared" si="2"/>
        <v>16867</v>
      </c>
      <c r="F31" s="43">
        <f t="shared" si="2"/>
        <v>16872</v>
      </c>
      <c r="G31" s="43">
        <f t="shared" si="2"/>
        <v>17242</v>
      </c>
      <c r="H31" s="45">
        <f t="shared" si="2"/>
        <v>18286</v>
      </c>
    </row>
    <row r="32" spans="1:8" x14ac:dyDescent="0.25">
      <c r="A32" s="40" t="s">
        <v>127</v>
      </c>
      <c r="B32" s="46">
        <f t="shared" si="2"/>
        <v>117.419</v>
      </c>
      <c r="C32" s="46">
        <f t="shared" si="2"/>
        <v>114.74900000000001</v>
      </c>
      <c r="D32" s="47">
        <f t="shared" si="2"/>
        <v>130.214</v>
      </c>
      <c r="E32" s="47">
        <f t="shared" si="2"/>
        <v>132.506</v>
      </c>
      <c r="F32" s="47">
        <f t="shared" si="2"/>
        <v>130.13399999999999</v>
      </c>
      <c r="G32" s="47">
        <f t="shared" si="2"/>
        <v>130.614</v>
      </c>
      <c r="H32" s="48">
        <f t="shared" si="2"/>
        <v>122.58000000000001</v>
      </c>
    </row>
    <row r="33" spans="1:13" x14ac:dyDescent="0.25">
      <c r="A33" s="40" t="s">
        <v>43</v>
      </c>
      <c r="B33" s="46">
        <f t="shared" si="2"/>
        <v>1122.579</v>
      </c>
      <c r="C33" s="46">
        <f t="shared" si="2"/>
        <v>1105.1970000000001</v>
      </c>
      <c r="D33" s="47">
        <f t="shared" si="2"/>
        <v>1194.2180000000001</v>
      </c>
      <c r="E33" s="47">
        <f t="shared" si="2"/>
        <v>1320.31</v>
      </c>
      <c r="F33" s="47">
        <f t="shared" si="2"/>
        <v>1301.9780000000001</v>
      </c>
      <c r="G33" s="47">
        <f t="shared" si="2"/>
        <v>1304.6120000000001</v>
      </c>
      <c r="H33" s="48">
        <f t="shared" si="2"/>
        <v>1341.4319999999998</v>
      </c>
    </row>
    <row r="34" spans="1:13" x14ac:dyDescent="0.25">
      <c r="A34" s="40" t="s">
        <v>44</v>
      </c>
      <c r="B34" s="46">
        <f t="shared" si="2"/>
        <v>3796.605</v>
      </c>
      <c r="C34" s="46">
        <f t="shared" si="2"/>
        <v>3778.7640000000001</v>
      </c>
      <c r="D34" s="47">
        <f t="shared" si="2"/>
        <v>3855.2980000000002</v>
      </c>
      <c r="E34" s="47">
        <f t="shared" si="2"/>
        <v>4223.8090000000002</v>
      </c>
      <c r="F34" s="47">
        <f t="shared" si="2"/>
        <v>4285.0939999999991</v>
      </c>
      <c r="G34" s="47">
        <f t="shared" si="2"/>
        <v>4418.62</v>
      </c>
      <c r="H34" s="48">
        <f t="shared" si="2"/>
        <v>4553.5080000000007</v>
      </c>
    </row>
    <row r="35" spans="1:13" x14ac:dyDescent="0.25">
      <c r="A35" s="40" t="s">
        <v>128</v>
      </c>
      <c r="B35" s="46">
        <f t="shared" si="2"/>
        <v>5544.3369999999995</v>
      </c>
      <c r="C35" s="46">
        <f t="shared" si="2"/>
        <v>5568.76</v>
      </c>
      <c r="D35" s="47">
        <f t="shared" si="2"/>
        <v>5606.64</v>
      </c>
      <c r="E35" s="47">
        <f t="shared" si="2"/>
        <v>6187.88</v>
      </c>
      <c r="F35" s="47">
        <f t="shared" si="2"/>
        <v>6199.6059999999998</v>
      </c>
      <c r="G35" s="47">
        <f t="shared" si="2"/>
        <v>6163.7719999999999</v>
      </c>
      <c r="H35" s="48">
        <f t="shared" si="2"/>
        <v>6447.1219999999994</v>
      </c>
    </row>
    <row r="36" spans="1:13" x14ac:dyDescent="0.25">
      <c r="A36" s="40" t="s">
        <v>46</v>
      </c>
      <c r="B36" s="46">
        <f t="shared" si="2"/>
        <v>4042.4529999999995</v>
      </c>
      <c r="C36" s="46">
        <f t="shared" si="2"/>
        <v>4086.529</v>
      </c>
      <c r="D36" s="47">
        <f t="shared" si="2"/>
        <v>4084.4800000000005</v>
      </c>
      <c r="E36" s="47">
        <f t="shared" si="2"/>
        <v>4359.1080000000002</v>
      </c>
      <c r="F36" s="47">
        <f t="shared" si="2"/>
        <v>4295.8100000000004</v>
      </c>
      <c r="G36" s="47">
        <f t="shared" si="2"/>
        <v>4486.1019999999999</v>
      </c>
      <c r="H36" s="48">
        <f t="shared" si="2"/>
        <v>4976.8500000000004</v>
      </c>
    </row>
    <row r="37" spans="1:13" x14ac:dyDescent="0.25">
      <c r="A37" s="40" t="s">
        <v>47</v>
      </c>
      <c r="B37" s="46">
        <f t="shared" si="2"/>
        <v>630.68700000000001</v>
      </c>
      <c r="C37" s="46">
        <f t="shared" si="2"/>
        <v>638.77800000000002</v>
      </c>
      <c r="D37" s="46">
        <f t="shared" si="2"/>
        <v>677.0630000000001</v>
      </c>
      <c r="E37" s="46">
        <f t="shared" si="2"/>
        <v>655.43799999999999</v>
      </c>
      <c r="F37" s="46">
        <f t="shared" si="2"/>
        <v>673.70699999999999</v>
      </c>
      <c r="G37" s="46">
        <f t="shared" si="2"/>
        <v>767.54</v>
      </c>
      <c r="H37" s="49">
        <f t="shared" si="2"/>
        <v>856.97799999999995</v>
      </c>
    </row>
    <row r="38" spans="1:13" x14ac:dyDescent="0.25">
      <c r="A38" s="41"/>
      <c r="B38" s="50"/>
      <c r="C38" s="50"/>
      <c r="D38" s="51"/>
      <c r="E38" s="50"/>
      <c r="F38" s="50"/>
      <c r="G38" s="50"/>
      <c r="H38" s="52"/>
    </row>
    <row r="39" spans="1:13" ht="15.75" thickBot="1" x14ac:dyDescent="0.3">
      <c r="A39" s="42" t="s">
        <v>129</v>
      </c>
      <c r="B39" s="53">
        <f t="shared" ref="B39:H39" si="3">SUM(B32:B37)</f>
        <v>15254.079999999998</v>
      </c>
      <c r="C39" s="53">
        <f t="shared" si="3"/>
        <v>15292.777000000002</v>
      </c>
      <c r="D39" s="53">
        <f t="shared" si="3"/>
        <v>15547.913000000002</v>
      </c>
      <c r="E39" s="53">
        <f t="shared" si="3"/>
        <v>16879.050999999999</v>
      </c>
      <c r="F39" s="53">
        <f t="shared" si="3"/>
        <v>16886.328999999998</v>
      </c>
      <c r="G39" s="53">
        <f t="shared" si="3"/>
        <v>17271.259999999998</v>
      </c>
      <c r="H39" s="54">
        <f t="shared" si="3"/>
        <v>18298.469999999998</v>
      </c>
    </row>
    <row r="41" spans="1:13" x14ac:dyDescent="0.25">
      <c r="A41" s="147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</row>
    <row r="42" spans="1:13" x14ac:dyDescent="0.25">
      <c r="A42" s="147"/>
      <c r="B42" s="147"/>
      <c r="C42" s="147"/>
      <c r="D42" s="147"/>
      <c r="E42" s="147"/>
      <c r="F42" s="147"/>
      <c r="G42" s="148"/>
      <c r="H42" s="147"/>
      <c r="I42" s="147"/>
      <c r="J42" s="147"/>
      <c r="K42" s="147"/>
      <c r="L42" s="147"/>
      <c r="M42" s="147"/>
    </row>
    <row r="43" spans="1:13" x14ac:dyDescent="0.25">
      <c r="A43" s="147"/>
      <c r="B43" s="147"/>
      <c r="C43" s="147"/>
      <c r="D43" s="147"/>
      <c r="E43" s="147"/>
      <c r="F43" s="147"/>
      <c r="G43" s="147"/>
      <c r="H43" s="149"/>
      <c r="I43" s="149"/>
      <c r="J43" s="147"/>
      <c r="K43" s="147"/>
      <c r="L43" s="147"/>
      <c r="M43" s="147"/>
    </row>
    <row r="44" spans="1:13" x14ac:dyDescent="0.25">
      <c r="A44" s="147"/>
      <c r="B44" s="147"/>
      <c r="C44" s="147"/>
      <c r="D44" s="147"/>
      <c r="E44" s="147"/>
      <c r="F44" s="147"/>
      <c r="G44" s="147"/>
      <c r="H44" s="150"/>
      <c r="I44" s="151"/>
      <c r="J44" s="151"/>
      <c r="K44" s="147"/>
      <c r="L44" s="147"/>
      <c r="M44" s="147"/>
    </row>
    <row r="45" spans="1:13" x14ac:dyDescent="0.25">
      <c r="A45" s="147"/>
      <c r="B45" s="147"/>
      <c r="C45" s="147"/>
      <c r="D45" s="147"/>
      <c r="E45" s="147"/>
      <c r="F45" s="147"/>
      <c r="G45" s="147"/>
      <c r="H45" s="152"/>
      <c r="I45" s="152"/>
      <c r="J45" s="152"/>
      <c r="K45" s="147"/>
      <c r="L45" s="147"/>
      <c r="M45" s="147"/>
    </row>
    <row r="46" spans="1:13" x14ac:dyDescent="0.25">
      <c r="A46" s="147"/>
      <c r="B46" s="147"/>
      <c r="C46" s="147"/>
      <c r="D46" s="152"/>
      <c r="E46" s="147"/>
      <c r="F46" s="147"/>
      <c r="G46" s="147"/>
      <c r="H46" s="152"/>
      <c r="I46" s="152"/>
      <c r="J46" s="152"/>
      <c r="K46" s="147"/>
      <c r="L46" s="147"/>
      <c r="M46" s="147"/>
    </row>
    <row r="47" spans="1:13" x14ac:dyDescent="0.25">
      <c r="A47" s="147"/>
      <c r="B47" s="147"/>
      <c r="C47" s="147"/>
      <c r="D47" s="152"/>
      <c r="E47" s="147"/>
      <c r="F47" s="147"/>
      <c r="G47" s="147"/>
      <c r="H47" s="152"/>
      <c r="I47" s="152"/>
      <c r="J47" s="152"/>
      <c r="K47" s="147"/>
      <c r="L47" s="147"/>
      <c r="M47" s="147"/>
    </row>
    <row r="48" spans="1:13" x14ac:dyDescent="0.25">
      <c r="A48" s="147"/>
      <c r="B48" s="147"/>
      <c r="C48" s="147"/>
      <c r="D48" s="147"/>
      <c r="E48" s="147"/>
      <c r="F48" s="147"/>
      <c r="G48" s="147"/>
      <c r="H48" s="152"/>
      <c r="I48" s="152"/>
      <c r="J48" s="152"/>
      <c r="K48" s="147"/>
      <c r="L48" s="147"/>
      <c r="M48" s="147"/>
    </row>
    <row r="49" spans="1:13" x14ac:dyDescent="0.25">
      <c r="A49" s="147"/>
      <c r="B49" s="147"/>
      <c r="C49" s="147"/>
      <c r="D49" s="147"/>
      <c r="E49" s="147"/>
      <c r="F49" s="147"/>
      <c r="G49" s="147"/>
      <c r="H49" s="152"/>
      <c r="I49" s="152"/>
      <c r="J49" s="152"/>
      <c r="K49" s="147"/>
      <c r="L49" s="147"/>
      <c r="M49" s="147"/>
    </row>
    <row r="50" spans="1:13" x14ac:dyDescent="0.25">
      <c r="A50" s="147"/>
      <c r="B50" s="147"/>
      <c r="C50" s="147"/>
      <c r="D50" s="147"/>
      <c r="E50" s="147"/>
      <c r="F50" s="147"/>
      <c r="G50" s="147"/>
      <c r="H50" s="152"/>
      <c r="I50" s="152"/>
      <c r="J50" s="152"/>
      <c r="K50" s="147"/>
      <c r="L50" s="147"/>
      <c r="M50" s="147"/>
    </row>
    <row r="51" spans="1:13" x14ac:dyDescent="0.25">
      <c r="A51" s="147"/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</row>
    <row r="52" spans="1:13" x14ac:dyDescent="0.25">
      <c r="A52" s="147"/>
      <c r="B52" s="147"/>
      <c r="C52" s="147"/>
      <c r="D52" s="147"/>
      <c r="E52" s="147"/>
      <c r="F52" s="147"/>
      <c r="G52" s="152"/>
      <c r="H52" s="147"/>
      <c r="I52" s="147"/>
      <c r="J52" s="147"/>
      <c r="K52" s="147"/>
      <c r="L52" s="147"/>
      <c r="M52" s="147"/>
    </row>
    <row r="53" spans="1:13" x14ac:dyDescent="0.25">
      <c r="A53" s="147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</row>
    <row r="54" spans="1:13" x14ac:dyDescent="0.25">
      <c r="A54" s="147"/>
      <c r="B54" s="147"/>
      <c r="C54" s="147"/>
      <c r="D54" s="147"/>
      <c r="E54" s="147"/>
      <c r="F54" s="147"/>
      <c r="G54" s="147"/>
      <c r="H54" s="147"/>
      <c r="I54" s="147"/>
      <c r="J54" s="152"/>
      <c r="K54" s="147"/>
      <c r="L54" s="147"/>
      <c r="M54" s="147"/>
    </row>
    <row r="55" spans="1:13" x14ac:dyDescent="0.25">
      <c r="A55" s="147"/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</row>
    <row r="56" spans="1:13" x14ac:dyDescent="0.25">
      <c r="A56" s="147"/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</row>
    <row r="62" spans="1:13" x14ac:dyDescent="0.25">
      <c r="A62" s="11"/>
      <c r="B62" s="11"/>
      <c r="C62" s="11"/>
    </row>
    <row r="63" spans="1:13" x14ac:dyDescent="0.25">
      <c r="A63" s="11"/>
      <c r="B63" s="11"/>
      <c r="C63" s="11"/>
    </row>
    <row r="64" spans="1:13" x14ac:dyDescent="0.25">
      <c r="A64" s="11"/>
      <c r="B64" s="11"/>
      <c r="C64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71"/>
  <sheetViews>
    <sheetView workbookViewId="0">
      <selection activeCell="K28" sqref="K28"/>
    </sheetView>
  </sheetViews>
  <sheetFormatPr baseColWidth="10" defaultColWidth="9.140625" defaultRowHeight="15" x14ac:dyDescent="0.25"/>
  <sheetData>
    <row r="1" spans="1:10" ht="21" x14ac:dyDescent="0.35">
      <c r="A1" s="153" t="s">
        <v>135</v>
      </c>
    </row>
    <row r="2" spans="1:10" x14ac:dyDescent="0.25">
      <c r="A2">
        <v>30</v>
      </c>
      <c r="B2">
        <v>2E-3</v>
      </c>
    </row>
    <row r="3" spans="1:10" x14ac:dyDescent="0.25">
      <c r="A3">
        <v>31</v>
      </c>
      <c r="B3">
        <v>3.0000000000000001E-3</v>
      </c>
    </row>
    <row r="4" spans="1:10" x14ac:dyDescent="0.25">
      <c r="A4">
        <v>32</v>
      </c>
      <c r="B4">
        <v>4.0000000000000001E-3</v>
      </c>
      <c r="D4" t="s">
        <v>127</v>
      </c>
      <c r="E4">
        <f>AVERAGE(B3:B17)</f>
        <v>1.9266666666666668E-2</v>
      </c>
      <c r="J4" t="s">
        <v>132</v>
      </c>
    </row>
    <row r="5" spans="1:10" x14ac:dyDescent="0.25">
      <c r="A5">
        <v>33</v>
      </c>
      <c r="B5">
        <v>5.0000000000000001E-3</v>
      </c>
      <c r="D5" t="s">
        <v>43</v>
      </c>
      <c r="E5">
        <f>AVERAGE(B17:B26)</f>
        <v>7.0899999999999991E-2</v>
      </c>
    </row>
    <row r="6" spans="1:10" x14ac:dyDescent="0.25">
      <c r="A6">
        <v>34</v>
      </c>
      <c r="B6">
        <v>6.0000000000000001E-3</v>
      </c>
      <c r="D6" t="s">
        <v>44</v>
      </c>
      <c r="E6">
        <f>AVERAGE(B27:B36)</f>
        <v>9.2699999999999977E-2</v>
      </c>
      <c r="J6" t="s">
        <v>133</v>
      </c>
    </row>
    <row r="7" spans="1:10" x14ac:dyDescent="0.25">
      <c r="A7">
        <v>35</v>
      </c>
      <c r="B7">
        <v>7.0000000000000001E-3</v>
      </c>
      <c r="D7" t="s">
        <v>128</v>
      </c>
      <c r="E7">
        <f>AVERAGE(B37:B46)</f>
        <v>0.10029999999999999</v>
      </c>
    </row>
    <row r="8" spans="1:10" x14ac:dyDescent="0.25">
      <c r="A8">
        <v>36</v>
      </c>
      <c r="B8">
        <v>8.0000000000000002E-3</v>
      </c>
      <c r="D8" t="s">
        <v>46</v>
      </c>
      <c r="E8">
        <f>AVERAGE(B47:B56)</f>
        <v>0.10429999999999999</v>
      </c>
    </row>
    <row r="9" spans="1:10" x14ac:dyDescent="0.25">
      <c r="A9">
        <v>37</v>
      </c>
      <c r="B9">
        <v>1.0999999999999999E-2</v>
      </c>
      <c r="D9" t="s">
        <v>47</v>
      </c>
      <c r="E9">
        <f>AVERAGE(B57:B71)</f>
        <v>0.10640000000000002</v>
      </c>
    </row>
    <row r="10" spans="1:10" x14ac:dyDescent="0.25">
      <c r="A10">
        <v>38</v>
      </c>
      <c r="B10">
        <v>1.4999999999999999E-2</v>
      </c>
    </row>
    <row r="11" spans="1:10" x14ac:dyDescent="0.25">
      <c r="A11">
        <v>39</v>
      </c>
      <c r="B11">
        <v>1.9E-2</v>
      </c>
    </row>
    <row r="12" spans="1:10" x14ac:dyDescent="0.25">
      <c r="A12">
        <v>40</v>
      </c>
      <c r="B12">
        <v>2.4E-2</v>
      </c>
    </row>
    <row r="13" spans="1:10" x14ac:dyDescent="0.25">
      <c r="A13">
        <v>41</v>
      </c>
      <c r="B13">
        <v>2.8000000000000001E-2</v>
      </c>
    </row>
    <row r="14" spans="1:10" x14ac:dyDescent="0.25">
      <c r="A14">
        <v>42</v>
      </c>
      <c r="B14">
        <v>3.2000000000000001E-2</v>
      </c>
    </row>
    <row r="15" spans="1:10" x14ac:dyDescent="0.25">
      <c r="A15">
        <v>43</v>
      </c>
      <c r="B15">
        <v>3.6999999999999998E-2</v>
      </c>
    </row>
    <row r="16" spans="1:10" x14ac:dyDescent="0.25">
      <c r="A16">
        <v>44</v>
      </c>
      <c r="B16">
        <v>4.2000000000000003E-2</v>
      </c>
    </row>
    <row r="17" spans="1:2" x14ac:dyDescent="0.25">
      <c r="A17">
        <v>45</v>
      </c>
      <c r="B17">
        <v>4.8000000000000001E-2</v>
      </c>
    </row>
    <row r="18" spans="1:2" x14ac:dyDescent="0.25">
      <c r="A18">
        <v>46</v>
      </c>
      <c r="B18">
        <v>5.5E-2</v>
      </c>
    </row>
    <row r="19" spans="1:2" x14ac:dyDescent="0.25">
      <c r="A19">
        <v>47</v>
      </c>
      <c r="B19">
        <v>6.3E-2</v>
      </c>
    </row>
    <row r="20" spans="1:2" x14ac:dyDescent="0.25">
      <c r="A20">
        <v>48</v>
      </c>
      <c r="B20">
        <v>6.7000000000000004E-2</v>
      </c>
    </row>
    <row r="21" spans="1:2" x14ac:dyDescent="0.25">
      <c r="A21">
        <v>49</v>
      </c>
      <c r="B21">
        <v>7.0999999999999994E-2</v>
      </c>
    </row>
    <row r="22" spans="1:2" x14ac:dyDescent="0.25">
      <c r="A22">
        <v>50</v>
      </c>
      <c r="B22">
        <v>7.4999999999999997E-2</v>
      </c>
    </row>
    <row r="23" spans="1:2" x14ac:dyDescent="0.25">
      <c r="A23">
        <v>51</v>
      </c>
      <c r="B23">
        <v>7.8E-2</v>
      </c>
    </row>
    <row r="24" spans="1:2" x14ac:dyDescent="0.25">
      <c r="A24">
        <v>52</v>
      </c>
      <c r="B24">
        <v>8.2000000000000003E-2</v>
      </c>
    </row>
    <row r="25" spans="1:2" x14ac:dyDescent="0.25">
      <c r="A25">
        <v>53</v>
      </c>
      <c r="B25">
        <v>8.4000000000000005E-2</v>
      </c>
    </row>
    <row r="26" spans="1:2" x14ac:dyDescent="0.25">
      <c r="A26">
        <v>54</v>
      </c>
      <c r="B26">
        <v>8.5999999999999993E-2</v>
      </c>
    </row>
    <row r="27" spans="1:2" x14ac:dyDescent="0.25">
      <c r="A27">
        <v>55</v>
      </c>
      <c r="B27">
        <v>8.7999999999999995E-2</v>
      </c>
    </row>
    <row r="28" spans="1:2" x14ac:dyDescent="0.25">
      <c r="A28">
        <v>56</v>
      </c>
      <c r="B28">
        <v>8.8999999999999996E-2</v>
      </c>
    </row>
    <row r="29" spans="1:2" x14ac:dyDescent="0.25">
      <c r="A29">
        <v>57</v>
      </c>
      <c r="B29">
        <v>0.09</v>
      </c>
    </row>
    <row r="30" spans="1:2" x14ac:dyDescent="0.25">
      <c r="A30">
        <v>58</v>
      </c>
      <c r="B30">
        <v>9.0999999999999998E-2</v>
      </c>
    </row>
    <row r="31" spans="1:2" x14ac:dyDescent="0.25">
      <c r="A31">
        <v>59</v>
      </c>
      <c r="B31">
        <v>9.1999999999999998E-2</v>
      </c>
    </row>
    <row r="32" spans="1:2" x14ac:dyDescent="0.25">
      <c r="A32">
        <v>60</v>
      </c>
      <c r="B32">
        <v>9.2999999999999999E-2</v>
      </c>
    </row>
    <row r="33" spans="1:2" x14ac:dyDescent="0.25">
      <c r="A33">
        <v>61</v>
      </c>
      <c r="B33">
        <v>9.4E-2</v>
      </c>
    </row>
    <row r="34" spans="1:2" x14ac:dyDescent="0.25">
      <c r="A34">
        <v>62</v>
      </c>
      <c r="B34">
        <v>9.5000000000000001E-2</v>
      </c>
    </row>
    <row r="35" spans="1:2" x14ac:dyDescent="0.25">
      <c r="A35">
        <v>63</v>
      </c>
      <c r="B35">
        <v>9.7000000000000003E-2</v>
      </c>
    </row>
    <row r="36" spans="1:2" x14ac:dyDescent="0.25">
      <c r="A36">
        <v>64</v>
      </c>
      <c r="B36">
        <v>9.8000000000000004E-2</v>
      </c>
    </row>
    <row r="37" spans="1:2" x14ac:dyDescent="0.25">
      <c r="A37">
        <v>65</v>
      </c>
      <c r="B37">
        <v>9.9000000000000005E-2</v>
      </c>
    </row>
    <row r="38" spans="1:2" x14ac:dyDescent="0.25">
      <c r="A38">
        <v>66</v>
      </c>
      <c r="B38">
        <v>9.9000000000000005E-2</v>
      </c>
    </row>
    <row r="39" spans="1:2" x14ac:dyDescent="0.25">
      <c r="A39">
        <v>67</v>
      </c>
      <c r="B39">
        <v>9.9000000000000005E-2</v>
      </c>
    </row>
    <row r="40" spans="1:2" x14ac:dyDescent="0.25">
      <c r="A40">
        <v>68</v>
      </c>
      <c r="B40">
        <v>0.1</v>
      </c>
    </row>
    <row r="41" spans="1:2" x14ac:dyDescent="0.25">
      <c r="A41">
        <v>69</v>
      </c>
      <c r="B41">
        <v>0.1</v>
      </c>
    </row>
    <row r="42" spans="1:2" x14ac:dyDescent="0.25">
      <c r="A42">
        <v>70</v>
      </c>
      <c r="B42">
        <v>0.10100000000000001</v>
      </c>
    </row>
    <row r="43" spans="1:2" x14ac:dyDescent="0.25">
      <c r="A43">
        <v>71</v>
      </c>
      <c r="B43">
        <v>0.10100000000000001</v>
      </c>
    </row>
    <row r="44" spans="1:2" x14ac:dyDescent="0.25">
      <c r="A44">
        <v>72</v>
      </c>
      <c r="B44">
        <v>0.10100000000000001</v>
      </c>
    </row>
    <row r="45" spans="1:2" x14ac:dyDescent="0.25">
      <c r="A45">
        <v>73</v>
      </c>
      <c r="B45">
        <v>0.10100000000000001</v>
      </c>
    </row>
    <row r="46" spans="1:2" x14ac:dyDescent="0.25">
      <c r="A46">
        <v>74</v>
      </c>
      <c r="B46">
        <v>0.10199999999999999</v>
      </c>
    </row>
    <row r="47" spans="1:2" x14ac:dyDescent="0.25">
      <c r="A47">
        <v>75</v>
      </c>
      <c r="B47">
        <v>0.10199999999999999</v>
      </c>
    </row>
    <row r="48" spans="1:2" x14ac:dyDescent="0.25">
      <c r="A48">
        <v>76</v>
      </c>
      <c r="B48">
        <v>0.10199999999999999</v>
      </c>
    </row>
    <row r="49" spans="1:2" x14ac:dyDescent="0.25">
      <c r="A49">
        <v>77</v>
      </c>
      <c r="B49">
        <v>0.10299999999999999</v>
      </c>
    </row>
    <row r="50" spans="1:2" x14ac:dyDescent="0.25">
      <c r="A50">
        <v>78</v>
      </c>
      <c r="B50">
        <v>0.104</v>
      </c>
    </row>
    <row r="51" spans="1:2" x14ac:dyDescent="0.25">
      <c r="A51">
        <v>79</v>
      </c>
      <c r="B51">
        <v>0.104</v>
      </c>
    </row>
    <row r="52" spans="1:2" x14ac:dyDescent="0.25">
      <c r="A52">
        <v>80</v>
      </c>
      <c r="B52">
        <v>0.105</v>
      </c>
    </row>
    <row r="53" spans="1:2" x14ac:dyDescent="0.25">
      <c r="A53">
        <v>81</v>
      </c>
      <c r="B53">
        <v>0.105</v>
      </c>
    </row>
    <row r="54" spans="1:2" x14ac:dyDescent="0.25">
      <c r="A54">
        <v>82</v>
      </c>
      <c r="B54">
        <v>0.106</v>
      </c>
    </row>
    <row r="55" spans="1:2" x14ac:dyDescent="0.25">
      <c r="A55">
        <v>83</v>
      </c>
      <c r="B55">
        <v>0.106</v>
      </c>
    </row>
    <row r="56" spans="1:2" x14ac:dyDescent="0.25">
      <c r="A56">
        <v>84</v>
      </c>
      <c r="B56">
        <v>0.106</v>
      </c>
    </row>
    <row r="57" spans="1:2" x14ac:dyDescent="0.25">
      <c r="A57">
        <v>85</v>
      </c>
      <c r="B57">
        <v>0.106</v>
      </c>
    </row>
    <row r="58" spans="1:2" x14ac:dyDescent="0.25">
      <c r="A58">
        <v>86</v>
      </c>
      <c r="B58">
        <v>0.106</v>
      </c>
    </row>
    <row r="59" spans="1:2" x14ac:dyDescent="0.25">
      <c r="A59">
        <v>87</v>
      </c>
      <c r="B59">
        <v>0.106</v>
      </c>
    </row>
    <row r="60" spans="1:2" x14ac:dyDescent="0.25">
      <c r="A60">
        <v>88</v>
      </c>
      <c r="B60">
        <v>0.107</v>
      </c>
    </row>
    <row r="61" spans="1:2" x14ac:dyDescent="0.25">
      <c r="A61">
        <v>89</v>
      </c>
      <c r="B61">
        <v>0.107</v>
      </c>
    </row>
    <row r="62" spans="1:2" x14ac:dyDescent="0.25">
      <c r="A62">
        <v>90</v>
      </c>
      <c r="B62">
        <v>0.107</v>
      </c>
    </row>
    <row r="63" spans="1:2" x14ac:dyDescent="0.25">
      <c r="A63">
        <v>91</v>
      </c>
      <c r="B63">
        <v>0.107</v>
      </c>
    </row>
    <row r="64" spans="1:2" x14ac:dyDescent="0.25">
      <c r="A64">
        <v>92</v>
      </c>
      <c r="B64">
        <v>0.106</v>
      </c>
    </row>
    <row r="65" spans="1:2" x14ac:dyDescent="0.25">
      <c r="A65">
        <v>93</v>
      </c>
      <c r="B65">
        <v>0.106</v>
      </c>
    </row>
    <row r="66" spans="1:2" x14ac:dyDescent="0.25">
      <c r="A66">
        <v>94</v>
      </c>
      <c r="B66">
        <v>0.106</v>
      </c>
    </row>
    <row r="67" spans="1:2" x14ac:dyDescent="0.25">
      <c r="A67">
        <v>95</v>
      </c>
      <c r="B67">
        <v>0.106</v>
      </c>
    </row>
    <row r="68" spans="1:2" x14ac:dyDescent="0.25">
      <c r="A68">
        <v>96</v>
      </c>
      <c r="B68">
        <v>0.106</v>
      </c>
    </row>
    <row r="69" spans="1:2" x14ac:dyDescent="0.25">
      <c r="A69">
        <v>97</v>
      </c>
      <c r="B69">
        <v>0.106</v>
      </c>
    </row>
    <row r="70" spans="1:2" x14ac:dyDescent="0.25">
      <c r="A70">
        <v>98</v>
      </c>
      <c r="B70">
        <v>0.107</v>
      </c>
    </row>
    <row r="71" spans="1:2" x14ac:dyDescent="0.25">
      <c r="A71">
        <v>99</v>
      </c>
      <c r="B71">
        <v>0.107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71"/>
  <sheetViews>
    <sheetView tabSelected="1" workbookViewId="0">
      <selection activeCell="H21" sqref="H21"/>
    </sheetView>
  </sheetViews>
  <sheetFormatPr baseColWidth="10" defaultColWidth="9.140625" defaultRowHeight="15" x14ac:dyDescent="0.25"/>
  <sheetData>
    <row r="1" spans="1:10" ht="25.5" customHeight="1" x14ac:dyDescent="0.35">
      <c r="A1" s="153" t="s">
        <v>136</v>
      </c>
    </row>
    <row r="2" spans="1:10" x14ac:dyDescent="0.25">
      <c r="A2">
        <v>30</v>
      </c>
      <c r="B2">
        <v>2E-3</v>
      </c>
    </row>
    <row r="3" spans="1:10" x14ac:dyDescent="0.25">
      <c r="A3">
        <v>31</v>
      </c>
      <c r="B3">
        <v>2E-3</v>
      </c>
    </row>
    <row r="4" spans="1:10" x14ac:dyDescent="0.25">
      <c r="A4">
        <v>32</v>
      </c>
      <c r="B4">
        <v>1E-3</v>
      </c>
      <c r="D4" t="s">
        <v>127</v>
      </c>
      <c r="E4">
        <f>AVERAGE(B3:B17)</f>
        <v>3.2000000000000001E-2</v>
      </c>
      <c r="J4" t="s">
        <v>134</v>
      </c>
    </row>
    <row r="5" spans="1:10" x14ac:dyDescent="0.25">
      <c r="A5">
        <v>33</v>
      </c>
      <c r="B5">
        <v>3.0000000000000001E-3</v>
      </c>
      <c r="D5" t="s">
        <v>43</v>
      </c>
      <c r="E5">
        <f>AVERAGE(B17:B26)</f>
        <v>0.12</v>
      </c>
    </row>
    <row r="6" spans="1:10" x14ac:dyDescent="0.25">
      <c r="A6">
        <v>34</v>
      </c>
      <c r="B6">
        <v>6.0000000000000001E-3</v>
      </c>
      <c r="D6" t="s">
        <v>44</v>
      </c>
      <c r="E6">
        <f>AVERAGE(B27:B36)</f>
        <v>0.1575</v>
      </c>
      <c r="J6" t="s">
        <v>133</v>
      </c>
    </row>
    <row r="7" spans="1:10" x14ac:dyDescent="0.25">
      <c r="A7">
        <v>35</v>
      </c>
      <c r="B7">
        <v>8.9999999999999993E-3</v>
      </c>
      <c r="D7" t="s">
        <v>128</v>
      </c>
      <c r="E7">
        <f>AVERAGE(B37:B46)</f>
        <v>0.1709</v>
      </c>
    </row>
    <row r="8" spans="1:10" x14ac:dyDescent="0.25">
      <c r="A8">
        <v>36</v>
      </c>
      <c r="B8">
        <v>1.4E-2</v>
      </c>
      <c r="D8" t="s">
        <v>46</v>
      </c>
      <c r="E8">
        <f>AVERAGE(B47:B56)</f>
        <v>0.1772</v>
      </c>
    </row>
    <row r="9" spans="1:10" x14ac:dyDescent="0.25">
      <c r="A9">
        <v>37</v>
      </c>
      <c r="B9">
        <v>1.9E-2</v>
      </c>
      <c r="D9" t="s">
        <v>47</v>
      </c>
      <c r="E9">
        <f>AVERAGE(B57:B71)</f>
        <v>0.17919999999999997</v>
      </c>
    </row>
    <row r="10" spans="1:10" x14ac:dyDescent="0.25">
      <c r="A10">
        <v>38</v>
      </c>
      <c r="B10">
        <v>2.4E-2</v>
      </c>
    </row>
    <row r="11" spans="1:10" x14ac:dyDescent="0.25">
      <c r="A11">
        <v>39</v>
      </c>
      <c r="B11">
        <v>3.1E-2</v>
      </c>
    </row>
    <row r="12" spans="1:10" x14ac:dyDescent="0.25">
      <c r="A12">
        <v>40</v>
      </c>
      <c r="B12">
        <v>0.04</v>
      </c>
    </row>
    <row r="13" spans="1:10" x14ac:dyDescent="0.25">
      <c r="A13">
        <v>41</v>
      </c>
      <c r="B13">
        <v>4.9000000000000002E-2</v>
      </c>
    </row>
    <row r="14" spans="1:10" x14ac:dyDescent="0.25">
      <c r="A14">
        <v>42</v>
      </c>
      <c r="B14">
        <v>5.7000000000000002E-2</v>
      </c>
    </row>
    <row r="15" spans="1:10" x14ac:dyDescent="0.25">
      <c r="A15">
        <v>43</v>
      </c>
      <c r="B15">
        <v>6.6000000000000003E-2</v>
      </c>
    </row>
    <row r="16" spans="1:10" x14ac:dyDescent="0.25">
      <c r="A16">
        <v>44</v>
      </c>
      <c r="B16">
        <v>7.4999999999999997E-2</v>
      </c>
    </row>
    <row r="17" spans="1:2" x14ac:dyDescent="0.25">
      <c r="A17">
        <v>45</v>
      </c>
      <c r="B17">
        <v>8.4000000000000005E-2</v>
      </c>
    </row>
    <row r="18" spans="1:2" x14ac:dyDescent="0.25">
      <c r="A18">
        <v>46</v>
      </c>
      <c r="B18">
        <v>9.6000000000000002E-2</v>
      </c>
    </row>
    <row r="19" spans="1:2" x14ac:dyDescent="0.25">
      <c r="A19">
        <v>47</v>
      </c>
      <c r="B19">
        <v>0.108</v>
      </c>
    </row>
    <row r="20" spans="1:2" x14ac:dyDescent="0.25">
      <c r="A20">
        <v>48</v>
      </c>
      <c r="B20">
        <v>0.115</v>
      </c>
    </row>
    <row r="21" spans="1:2" x14ac:dyDescent="0.25">
      <c r="A21">
        <v>49</v>
      </c>
      <c r="B21">
        <v>0.122</v>
      </c>
    </row>
    <row r="22" spans="1:2" x14ac:dyDescent="0.25">
      <c r="A22">
        <v>50</v>
      </c>
      <c r="B22">
        <v>0.127</v>
      </c>
    </row>
    <row r="23" spans="1:2" x14ac:dyDescent="0.25">
      <c r="A23">
        <v>51</v>
      </c>
      <c r="B23">
        <v>0.13100000000000001</v>
      </c>
    </row>
    <row r="24" spans="1:2" x14ac:dyDescent="0.25">
      <c r="A24">
        <v>52</v>
      </c>
      <c r="B24">
        <v>0.13500000000000001</v>
      </c>
    </row>
    <row r="25" spans="1:2" x14ac:dyDescent="0.25">
      <c r="A25">
        <v>53</v>
      </c>
      <c r="B25">
        <v>0.13900000000000001</v>
      </c>
    </row>
    <row r="26" spans="1:2" x14ac:dyDescent="0.25">
      <c r="A26">
        <v>54</v>
      </c>
      <c r="B26">
        <v>0.14299999999999999</v>
      </c>
    </row>
    <row r="27" spans="1:2" x14ac:dyDescent="0.25">
      <c r="A27">
        <v>55</v>
      </c>
      <c r="B27">
        <v>0.14699999999999999</v>
      </c>
    </row>
    <row r="28" spans="1:2" x14ac:dyDescent="0.25">
      <c r="A28">
        <v>56</v>
      </c>
      <c r="B28">
        <v>0.151</v>
      </c>
    </row>
    <row r="29" spans="1:2" x14ac:dyDescent="0.25">
      <c r="A29">
        <v>57</v>
      </c>
      <c r="B29">
        <v>0.154</v>
      </c>
    </row>
    <row r="30" spans="1:2" x14ac:dyDescent="0.25">
      <c r="A30">
        <v>58</v>
      </c>
      <c r="B30">
        <v>0.156</v>
      </c>
    </row>
    <row r="31" spans="1:2" x14ac:dyDescent="0.25">
      <c r="A31">
        <v>59</v>
      </c>
      <c r="B31">
        <v>0.157</v>
      </c>
    </row>
    <row r="32" spans="1:2" x14ac:dyDescent="0.25">
      <c r="A32">
        <v>60</v>
      </c>
      <c r="B32">
        <v>0.159</v>
      </c>
    </row>
    <row r="33" spans="1:2" x14ac:dyDescent="0.25">
      <c r="A33">
        <v>61</v>
      </c>
      <c r="B33">
        <v>0.161</v>
      </c>
    </row>
    <row r="34" spans="1:2" x14ac:dyDescent="0.25">
      <c r="A34">
        <v>62</v>
      </c>
      <c r="B34">
        <v>0.16200000000000001</v>
      </c>
    </row>
    <row r="35" spans="1:2" x14ac:dyDescent="0.25">
      <c r="A35">
        <v>63</v>
      </c>
      <c r="B35">
        <v>0.16300000000000001</v>
      </c>
    </row>
    <row r="36" spans="1:2" x14ac:dyDescent="0.25">
      <c r="A36">
        <v>64</v>
      </c>
      <c r="B36">
        <v>0.16500000000000001</v>
      </c>
    </row>
    <row r="37" spans="1:2" x14ac:dyDescent="0.25">
      <c r="A37">
        <v>65</v>
      </c>
      <c r="B37">
        <v>0.16600000000000001</v>
      </c>
    </row>
    <row r="38" spans="1:2" x14ac:dyDescent="0.25">
      <c r="A38">
        <v>66</v>
      </c>
      <c r="B38">
        <v>0.16700000000000001</v>
      </c>
    </row>
    <row r="39" spans="1:2" x14ac:dyDescent="0.25">
      <c r="A39">
        <v>67</v>
      </c>
      <c r="B39">
        <v>0.16900000000000001</v>
      </c>
    </row>
    <row r="40" spans="1:2" x14ac:dyDescent="0.25">
      <c r="A40">
        <v>68</v>
      </c>
      <c r="B40">
        <v>0.17</v>
      </c>
    </row>
    <row r="41" spans="1:2" x14ac:dyDescent="0.25">
      <c r="A41">
        <v>69</v>
      </c>
      <c r="B41">
        <v>0.17100000000000001</v>
      </c>
    </row>
    <row r="42" spans="1:2" x14ac:dyDescent="0.25">
      <c r="A42">
        <v>70</v>
      </c>
      <c r="B42">
        <v>0.17199999999999999</v>
      </c>
    </row>
    <row r="43" spans="1:2" x14ac:dyDescent="0.25">
      <c r="A43">
        <v>71</v>
      </c>
      <c r="B43">
        <v>0.17299999999999999</v>
      </c>
    </row>
    <row r="44" spans="1:2" x14ac:dyDescent="0.25">
      <c r="A44">
        <v>72</v>
      </c>
      <c r="B44">
        <v>0.17299999999999999</v>
      </c>
    </row>
    <row r="45" spans="1:2" x14ac:dyDescent="0.25">
      <c r="A45">
        <v>73</v>
      </c>
      <c r="B45">
        <v>0.17399999999999999</v>
      </c>
    </row>
    <row r="46" spans="1:2" x14ac:dyDescent="0.25">
      <c r="A46">
        <v>74</v>
      </c>
      <c r="B46">
        <v>0.17399999999999999</v>
      </c>
    </row>
    <row r="47" spans="1:2" x14ac:dyDescent="0.25">
      <c r="A47">
        <v>75</v>
      </c>
      <c r="B47">
        <v>0.17499999999999999</v>
      </c>
    </row>
    <row r="48" spans="1:2" x14ac:dyDescent="0.25">
      <c r="A48">
        <v>76</v>
      </c>
      <c r="B48">
        <v>0.17499999999999999</v>
      </c>
    </row>
    <row r="49" spans="1:2" x14ac:dyDescent="0.25">
      <c r="A49">
        <v>77</v>
      </c>
      <c r="B49">
        <v>0.17599999999999999</v>
      </c>
    </row>
    <row r="50" spans="1:2" x14ac:dyDescent="0.25">
      <c r="A50">
        <v>78</v>
      </c>
      <c r="B50">
        <v>0.17699999999999999</v>
      </c>
    </row>
    <row r="51" spans="1:2" x14ac:dyDescent="0.25">
      <c r="A51">
        <v>79</v>
      </c>
      <c r="B51">
        <v>0.17699999999999999</v>
      </c>
    </row>
    <row r="52" spans="1:2" x14ac:dyDescent="0.25">
      <c r="A52">
        <v>80</v>
      </c>
      <c r="B52">
        <v>0.17799999999999999</v>
      </c>
    </row>
    <row r="53" spans="1:2" x14ac:dyDescent="0.25">
      <c r="A53">
        <v>81</v>
      </c>
      <c r="B53">
        <v>0.17799999999999999</v>
      </c>
    </row>
    <row r="54" spans="1:2" x14ac:dyDescent="0.25">
      <c r="A54">
        <v>82</v>
      </c>
      <c r="B54">
        <v>0.17799999999999999</v>
      </c>
    </row>
    <row r="55" spans="1:2" x14ac:dyDescent="0.25">
      <c r="A55">
        <v>83</v>
      </c>
      <c r="B55">
        <v>0.17899999999999999</v>
      </c>
    </row>
    <row r="56" spans="1:2" x14ac:dyDescent="0.25">
      <c r="A56">
        <v>84</v>
      </c>
      <c r="B56">
        <v>0.17899999999999999</v>
      </c>
    </row>
    <row r="57" spans="1:2" x14ac:dyDescent="0.25">
      <c r="A57">
        <v>85</v>
      </c>
      <c r="B57">
        <v>0.18</v>
      </c>
    </row>
    <row r="58" spans="1:2" x14ac:dyDescent="0.25">
      <c r="A58">
        <v>86</v>
      </c>
      <c r="B58">
        <v>0.18</v>
      </c>
    </row>
    <row r="59" spans="1:2" x14ac:dyDescent="0.25">
      <c r="A59">
        <v>87</v>
      </c>
      <c r="B59">
        <v>0.18</v>
      </c>
    </row>
    <row r="60" spans="1:2" x14ac:dyDescent="0.25">
      <c r="A60">
        <v>88</v>
      </c>
      <c r="B60">
        <v>0.17899999999999999</v>
      </c>
    </row>
    <row r="61" spans="1:2" x14ac:dyDescent="0.25">
      <c r="A61">
        <v>89</v>
      </c>
      <c r="B61">
        <v>0.17899999999999999</v>
      </c>
    </row>
    <row r="62" spans="1:2" x14ac:dyDescent="0.25">
      <c r="A62">
        <v>90</v>
      </c>
      <c r="B62">
        <v>0.17899999999999999</v>
      </c>
    </row>
    <row r="63" spans="1:2" x14ac:dyDescent="0.25">
      <c r="A63">
        <v>91</v>
      </c>
      <c r="B63">
        <v>0.17899999999999999</v>
      </c>
    </row>
    <row r="64" spans="1:2" x14ac:dyDescent="0.25">
      <c r="A64">
        <v>92</v>
      </c>
      <c r="B64">
        <v>0.17899999999999999</v>
      </c>
    </row>
    <row r="65" spans="1:2" x14ac:dyDescent="0.25">
      <c r="A65">
        <v>93</v>
      </c>
      <c r="B65">
        <v>0.17899999999999999</v>
      </c>
    </row>
    <row r="66" spans="1:2" x14ac:dyDescent="0.25">
      <c r="A66">
        <v>94</v>
      </c>
      <c r="B66">
        <v>0.17899999999999999</v>
      </c>
    </row>
    <row r="67" spans="1:2" x14ac:dyDescent="0.25">
      <c r="A67">
        <v>95</v>
      </c>
      <c r="B67">
        <v>0.17899999999999999</v>
      </c>
    </row>
    <row r="68" spans="1:2" x14ac:dyDescent="0.25">
      <c r="A68">
        <v>96</v>
      </c>
      <c r="B68">
        <v>0.17899999999999999</v>
      </c>
    </row>
    <row r="69" spans="1:2" x14ac:dyDescent="0.25">
      <c r="A69">
        <v>97</v>
      </c>
      <c r="B69">
        <v>0.17899999999999999</v>
      </c>
    </row>
    <row r="70" spans="1:2" x14ac:dyDescent="0.25">
      <c r="A70">
        <v>98</v>
      </c>
      <c r="B70">
        <v>0.17899999999999999</v>
      </c>
    </row>
    <row r="71" spans="1:2" x14ac:dyDescent="0.25">
      <c r="A71">
        <v>99</v>
      </c>
      <c r="B71">
        <v>0.17899999999999999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0D231FBE62B74B8AE4A69BA515BDAA" ma:contentTypeVersion="8" ma:contentTypeDescription="Ein neues Dokument erstellen." ma:contentTypeScope="" ma:versionID="bdd5832fe0ac1aba0c04581e76fd1451">
  <xsd:schema xmlns:xsd="http://www.w3.org/2001/XMLSchema" xmlns:xs="http://www.w3.org/2001/XMLSchema" xmlns:p="http://schemas.microsoft.com/office/2006/metadata/properties" xmlns:ns2="cbee4b77-e44c-4d54-8fb4-82142a9f3a15" targetNamespace="http://schemas.microsoft.com/office/2006/metadata/properties" ma:root="true" ma:fieldsID="61e87d5e28fcd01b1794fe939ca9eba3" ns2:_="">
    <xsd:import namespace="cbee4b77-e44c-4d54-8fb4-82142a9f3a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e4b77-e44c-4d54-8fb4-82142a9f3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20DD23-5801-42A6-98B4-E10A6BD27D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ee4b77-e44c-4d54-8fb4-82142a9f3a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4914CC-5F0A-41F4-99B4-3B9E3B3735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27D37B-8A3D-4E41-9A86-2B4CC130D92B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cbee4b77-e44c-4d54-8fb4-82142a9f3a1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CALC</vt:lpstr>
      <vt:lpstr>POPULATION_DATA</vt:lpstr>
      <vt:lpstr>SIRIS_DATA</vt:lpstr>
      <vt:lpstr>PREV_KOA_males</vt:lpstr>
      <vt:lpstr>PREV_KOA_females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Vetsch</dc:creator>
  <cp:keywords/>
  <dc:description/>
  <cp:lastModifiedBy>Vetsch, Thomas</cp:lastModifiedBy>
  <cp:revision/>
  <dcterms:created xsi:type="dcterms:W3CDTF">2021-02-02T07:51:31Z</dcterms:created>
  <dcterms:modified xsi:type="dcterms:W3CDTF">2023-04-04T09:13:15Z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0x010100620D231FBE62B74B8AE4A69BA515BDAA</vt:lpwstr>
  </property>
</Properties>
</file>